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DA06A7A4-1EC7-44E7-AFAF-BB7832FCD024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<sst xmlns="http://schemas.openxmlformats.org/spreadsheetml/2006/main" count="264" uniqueCount="145">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</sst>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  <font>
      <sz val="10.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9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7" xfId="0" applyBorder="1" applyProtection="1">
      <protection hidden="1"/>
    </xf>
    <xf numFmtId="0" fontId="14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12" xfId="0" applyFont="1" applyBorder="1" applyProtection="1">
      <protection hidden="1"/>
    </xf>
    <xf numFmtId="0" fontId="0" fillId="0" borderId="12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left" wrapText="1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6" xfId="0" applyFont="1" applyBorder="1" applyAlignment="1" applyProtection="1">
      <alignment horizontal="center" vertical="top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  <xf numFmtId="0" fontId="21" fillId="0" borderId="0" xfId="0" applyFont="1" applyAlignment="1" applyProtection="1">
      <alignment horizontal="left" vertical="top" wrapText="1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24229</c:v>
                </c:pt>
                <c:pt idx="1">
                  <c:v>9405</c:v>
                </c:pt>
                <c:pt idx="2">
                  <c:v>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3.8781163434903045</c:v>
                </c:pt>
                <c:pt idx="1">
                  <c:v>3.2348429266991259</c:v>
                </c:pt>
                <c:pt idx="2">
                  <c:v>5.2082488277383865</c:v>
                </c:pt>
                <c:pt idx="3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0.13545641833051902"/>
          <c:w val="0.91980530212823464"/>
          <c:h val="0.73863738307735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52.989934872705746</c:v>
                </c:pt>
                <c:pt idx="1">
                  <c:v>54.736129905277394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19.725328355908694</c:v>
                </c:pt>
                <c:pt idx="1">
                  <c:v>23.837482795268045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13.222361809045227</c:v>
                </c:pt>
                <c:pt idx="1">
                  <c:v>71.82000138035751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304.97491638795987</c:v>
                </c:pt>
                <c:pt idx="1">
                  <c:v>819.28971710215376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33" val="1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10747</xdr:rowOff>
    </xdr:from>
    <xdr:to>
      <xdr:col>15</xdr:col>
      <xdr:colOff>117231</xdr:colOff>
      <xdr:row>60</xdr:row>
      <xdr:rowOff>42334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338138</xdr:rowOff>
        </xdr:from>
        <xdr:to>
          <xdr:col>9</xdr:col>
          <xdr:colOff>585788</xdr:colOff>
          <xdr:row>3</xdr:row>
          <xdr:rowOff>223838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24</xdr:row>
      <xdr:rowOff>42333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37</xdr:row>
      <xdr:rowOff>143934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25" x14ac:dyDescent="0.45"/>
  <cols>
    <col min="1" max="1" width="2.06640625" bestFit="1" customWidth="1"/>
    <col min="2" max="2" width="13.265625" bestFit="1" customWidth="1"/>
    <col min="3" max="3" width="11.59765625" customWidth="1"/>
    <col min="4" max="4" width="11.59765625" style="4" customWidth="1"/>
    <col min="5" max="12" width="11.59765625" customWidth="1"/>
    <col min="21" max="23" width="9.06640625" style="14"/>
    <col min="25" max="25" width="9.06640625" style="14"/>
    <col min="31" max="33" width="8.73046875" style="14"/>
  </cols>
  <sheetData>
    <row r="1" spans="1:33" s="8" customFormat="1" ht="15.75" x14ac:dyDescent="0.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45">
      <c r="I2" s="7" t="s">
        <v>92</v>
      </c>
    </row>
    <row r="3" spans="1:33" s="12" customFormat="1" ht="18.75" customHeight="1" x14ac:dyDescent="0.35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4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4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4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4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4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4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4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4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4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4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4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4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4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4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4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4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4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4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4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4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4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4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4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4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4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4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4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4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4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4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4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4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4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4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4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4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4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4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4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4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4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4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4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4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4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4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4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4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4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4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4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4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4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4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4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4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4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4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4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4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4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4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4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4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4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4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4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4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4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4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4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4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4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4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4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4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4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4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4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4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4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R62" sqref="R62"/>
    </sheetView>
  </sheetViews>
  <sheetFormatPr defaultColWidth="8.73046875" defaultRowHeight="15.75" x14ac:dyDescent="0.5"/>
  <cols>
    <col min="1" max="1" width="2.06640625" style="21" customWidth="1"/>
    <col min="2" max="2" width="5.73046875" style="21" customWidth="1"/>
    <col min="3" max="3" width="2.06640625" style="21" customWidth="1"/>
    <col min="4" max="4" width="2.265625" style="21" customWidth="1"/>
    <col min="5" max="7" width="11.06640625" style="21" customWidth="1"/>
    <col min="8" max="8" width="1.33203125" style="21" customWidth="1"/>
    <col min="9" max="11" width="11.06640625" style="21" customWidth="1"/>
    <col min="12" max="12" width="1.53125" style="21" customWidth="1"/>
    <col min="13" max="15" width="11.06640625" style="21" customWidth="1"/>
    <col min="16" max="16" width="1.796875" style="21" customWidth="1"/>
    <col min="17" max="19" width="8.73046875" style="33"/>
    <col min="20" max="20" width="8.73046875" style="34"/>
    <col min="21" max="21" width="29.53125" style="33" customWidth="1"/>
    <col min="22" max="23" width="12.59765625" style="33" customWidth="1"/>
    <col min="24" max="24" width="8.73046875" style="33"/>
    <col min="25" max="25" width="14.9296875" style="33" bestFit="1" customWidth="1"/>
    <col min="26" max="44" width="8.73046875" style="33"/>
    <col min="45" max="16384" width="8.73046875" style="21"/>
  </cols>
  <sheetData>
    <row r="1" spans="4:25" ht="4.05" customHeight="1" x14ac:dyDescent="0.5">
      <c r="U1" s="33" t="s">
        <v>105</v>
      </c>
    </row>
    <row r="2" spans="4:25" ht="4.05" customHeight="1" x14ac:dyDescent="0.5"/>
    <row r="3" spans="4:25" ht="28.5" x14ac:dyDescent="0.5">
      <c r="D3" s="49" t="str" cm="1">
        <f t="array" ref="D3">CONCATENATE("Disability in ",INDEX(Data_Disability!B5:B84,I4))</f>
        <v>Disability in Hume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 s="35"/>
      <c r="U3" s="33" t="str" cm="1">
        <f t="array" ref="U3">CONCATENATE("Within ",INDEX(Data_Disability!B5:B84,I4)," ",W9," residents in single person households have a disability")</f>
        <v>Within Hume 1586 residents in single person households have a disability</v>
      </c>
      <c r="Y3" s="36" t="s">
        <v>110</v>
      </c>
    </row>
    <row r="4" spans="4:25" ht="18" x14ac:dyDescent="0.5">
      <c r="D4" s="22"/>
      <c r="E4"/>
      <c r="F4"/>
      <c r="G4"/>
      <c r="I4" s="23">
        <v>33</v>
      </c>
      <c r="K4" s="52" t="s">
        <v>106</v>
      </c>
      <c r="L4" s="52"/>
      <c r="M4" s="53"/>
      <c r="N4" s="53"/>
      <c r="O4" s="53"/>
      <c r="P4" s="24"/>
      <c r="V4" s="37"/>
      <c r="Y4" s="38" t="s">
        <v>111</v>
      </c>
    </row>
    <row r="5" spans="4:25" ht="23.55" customHeight="1" x14ac:dyDescent="0.7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6.7336656192436877</v>
      </c>
      <c r="Y5" s="36" t="s">
        <v>112</v>
      </c>
    </row>
    <row r="6" spans="4:25" ht="13.5" customHeight="1" x14ac:dyDescent="0.5">
      <c r="D6" s="22"/>
      <c r="E6" s="54" t="str">
        <f>CONCATENATE(ROUND(V5,1),"%")</f>
        <v>6.7%</v>
      </c>
      <c r="F6" s="54"/>
      <c r="J6" s="55">
        <f>V7</f>
        <v>16898</v>
      </c>
      <c r="K6" s="55"/>
      <c r="P6" s="24"/>
    </row>
    <row r="7" spans="4:25" ht="13.5" customHeight="1" x14ac:dyDescent="0.5">
      <c r="D7" s="22"/>
      <c r="E7" s="54"/>
      <c r="F7" s="54"/>
      <c r="J7" s="55"/>
      <c r="K7" s="55"/>
      <c r="M7" s="21" t="str" cm="1">
        <f t="array" ref="M7">CONCATENATE("Within ",INDEX(Data_Disability!B5:B84,I4))</f>
        <v>Within Hume</v>
      </c>
      <c r="P7" s="24"/>
      <c r="T7" s="34">
        <v>2</v>
      </c>
      <c r="U7" s="33" t="s">
        <v>108</v>
      </c>
      <c r="V7" s="40">
        <f>VLOOKUP($I$4,Data_Disability!$A$5:$AD$84,4)</f>
        <v>16898</v>
      </c>
      <c r="W7" s="37"/>
    </row>
    <row r="8" spans="4:25" ht="13.5" customHeight="1" x14ac:dyDescent="0.5">
      <c r="D8" s="22"/>
      <c r="E8" s="54"/>
      <c r="F8" s="54"/>
      <c r="J8" s="55"/>
      <c r="K8" s="55"/>
      <c r="M8" s="55">
        <f>W9</f>
        <v>1586</v>
      </c>
      <c r="N8" s="55"/>
      <c r="P8" s="24"/>
    </row>
    <row r="9" spans="4:25" ht="13.5" customHeight="1" x14ac:dyDescent="0.5">
      <c r="D9" s="22"/>
      <c r="E9" s="54"/>
      <c r="F9" s="54"/>
      <c r="J9" s="55"/>
      <c r="K9" s="55"/>
      <c r="M9" s="55"/>
      <c r="N9" s="55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1586</v>
      </c>
    </row>
    <row r="10" spans="4:25" ht="13.5" customHeight="1" x14ac:dyDescent="0.5">
      <c r="D10" s="22"/>
      <c r="E10" s="21" t="str" cm="1">
        <f t="array" ref="E10">CONCATENATE("of residents in ",INDEX(Data_Disability!B5:B84,I4))</f>
        <v>of residents in Hume</v>
      </c>
      <c r="I10" s="56" t="str" cm="1">
        <f t="array" ref="I10">CONCATENATE("residents of ",INDEX(Data_Disability!B5:B84,I4)," have a disability")</f>
        <v>residents of Hume have a disability</v>
      </c>
      <c r="J10" s="56"/>
      <c r="K10" s="56"/>
      <c r="M10" s="55"/>
      <c r="N10" s="55"/>
      <c r="P10" s="24"/>
      <c r="V10" s="33" t="s">
        <v>117</v>
      </c>
      <c r="W10" s="39">
        <f>VLOOKUP($I$4,Data_Disability!$A$5:$AD$84,24)</f>
        <v>67.276166456494323</v>
      </c>
    </row>
    <row r="11" spans="4:25" ht="13.5" customHeight="1" x14ac:dyDescent="0.5">
      <c r="D11" s="22"/>
      <c r="E11" s="21" t="s">
        <v>129</v>
      </c>
      <c r="I11" s="56"/>
      <c r="J11" s="56"/>
      <c r="K11" s="56"/>
      <c r="M11" s="21" t="s">
        <v>132</v>
      </c>
      <c r="P11" s="24"/>
      <c r="W11" s="33">
        <f>W9*W10/100</f>
        <v>1067</v>
      </c>
    </row>
    <row r="12" spans="4:25" ht="13.5" customHeight="1" x14ac:dyDescent="0.5">
      <c r="D12" s="22"/>
      <c r="E12" s="21" t="s">
        <v>130</v>
      </c>
      <c r="M12" s="58" t="str">
        <f>CONCATENATE("Among them, ",ROUND(W11,0),", or ",ROUND(W10,0),"%, are women")</f>
        <v>Among them, 1067, or 67%, are women</v>
      </c>
      <c r="N12" s="58"/>
      <c r="O12" s="58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211</v>
      </c>
    </row>
    <row r="13" spans="4:25" ht="13.5" customHeight="1" x14ac:dyDescent="0.5">
      <c r="D13" s="22"/>
      <c r="E13" s="21" t="s">
        <v>140</v>
      </c>
      <c r="M13" s="58"/>
      <c r="N13" s="58"/>
      <c r="O13" s="58"/>
      <c r="P13" s="24"/>
      <c r="V13" s="33" t="s">
        <v>119</v>
      </c>
      <c r="W13" s="39">
        <f>VLOOKUP($I$4,Data_Disability!$A$5:$AD$84,26)</f>
        <v>11.542669584245077</v>
      </c>
    </row>
    <row r="14" spans="4:25" ht="13.5" customHeight="1" x14ac:dyDescent="0.5">
      <c r="D14" s="22"/>
      <c r="M14" s="58"/>
      <c r="N14" s="58"/>
      <c r="O14" s="58"/>
      <c r="P14" s="24"/>
    </row>
    <row r="15" spans="4:25" ht="13.5" customHeight="1" x14ac:dyDescent="0.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3.8781163434903045</v>
      </c>
    </row>
    <row r="16" spans="4:25" ht="13.5" customHeight="1" x14ac:dyDescent="0.5">
      <c r="D16" s="22"/>
      <c r="P16" s="24"/>
      <c r="V16" s="38" t="s">
        <v>83</v>
      </c>
      <c r="W16" s="39">
        <f>VLOOKUP($I$4,Data_Disability!$A$5:$AD$84,6)</f>
        <v>3.2348429266991259</v>
      </c>
    </row>
    <row r="17" spans="4:23" ht="13.5" customHeight="1" x14ac:dyDescent="0.5">
      <c r="D17" s="22"/>
      <c r="P17" s="24"/>
      <c r="V17" s="36" t="s">
        <v>84</v>
      </c>
      <c r="W17" s="39">
        <f>VLOOKUP($I$4,Data_Disability!$A$5:$AD$84,7)</f>
        <v>5.2082488277383865</v>
      </c>
    </row>
    <row r="18" spans="4:23" ht="13.5" customHeight="1" x14ac:dyDescent="0.5">
      <c r="D18" s="22"/>
      <c r="P18" s="24"/>
      <c r="V18" s="36" t="s">
        <v>85</v>
      </c>
      <c r="W18" s="39">
        <f>VLOOKUP($I$4,Data_Disability!$A$5:$AD$84,8)</f>
        <v>29.75324264473268</v>
      </c>
    </row>
    <row r="19" spans="4:23" ht="13.5" customHeight="1" x14ac:dyDescent="0.5">
      <c r="D19" s="22"/>
      <c r="P19" s="24"/>
      <c r="U19" s="33" t="s">
        <v>127</v>
      </c>
      <c r="V19" s="37"/>
      <c r="W19" s="37"/>
    </row>
    <row r="20" spans="4:23" ht="21" customHeight="1" x14ac:dyDescent="0.7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53.757499210609403</v>
      </c>
    </row>
    <row r="21" spans="4:23" ht="13.5" customHeight="1" x14ac:dyDescent="0.5">
      <c r="D21" s="22"/>
      <c r="E21" s="55">
        <f>W12</f>
        <v>211</v>
      </c>
      <c r="F21" s="32"/>
      <c r="I21" s="61" t="str" cm="1">
        <f t="array" ref="I21">CONCATENATE("Fewer than ",ROUND(MAX(W15:W17+1),0),"% of local residents under 65 years are disabled. Among older residents though, this figure rises to ",ROUND(W18,0),"%")</f>
        <v>Fewer than 6% of local residents under 65 years are disabled. Among older residents though, this figure rises to 30%</v>
      </c>
      <c r="J21" s="61"/>
      <c r="K21" s="61"/>
      <c r="P21" s="24"/>
      <c r="V21" s="33" t="s">
        <v>93</v>
      </c>
      <c r="W21" s="39">
        <f>VLOOKUP($I$4,Data_Disability!$A$5:$AD$84,14)</f>
        <v>21.764213108099938</v>
      </c>
    </row>
    <row r="22" spans="4:23" ht="13.5" customHeight="1" x14ac:dyDescent="0.5">
      <c r="D22" s="22"/>
      <c r="E22" s="55"/>
      <c r="F22" s="48" t="str" cm="1">
        <f t="array" ref="F22">CONCATENATE("Aboriginal and Torres Strait Islanders in ",INDEX(Data_Disability!B5:B84,I4)," have a disability")</f>
        <v>Aboriginal and Torres Strait Islanders in Hume have a disability</v>
      </c>
      <c r="G22" s="48"/>
      <c r="I22" s="61"/>
      <c r="J22" s="61"/>
      <c r="K22" s="61"/>
      <c r="P22" s="24"/>
      <c r="V22" s="37"/>
      <c r="W22" s="37"/>
    </row>
    <row r="23" spans="4:23" ht="13.5" customHeight="1" x14ac:dyDescent="0.5">
      <c r="D23" s="22"/>
      <c r="E23" s="55"/>
      <c r="F23" s="48"/>
      <c r="G23" s="48"/>
      <c r="I23" s="61"/>
      <c r="J23" s="61"/>
      <c r="K23" s="61"/>
      <c r="P23" s="24"/>
      <c r="V23" s="33" t="s">
        <v>102</v>
      </c>
      <c r="W23" s="33" t="s">
        <v>101</v>
      </c>
    </row>
    <row r="24" spans="4:23" ht="13.5" customHeight="1" x14ac:dyDescent="0.5">
      <c r="D24" s="22"/>
      <c r="F24" s="48"/>
      <c r="G24" s="48"/>
      <c r="I24" s="61"/>
      <c r="J24" s="61"/>
      <c r="K24" s="61"/>
      <c r="P24" s="24"/>
      <c r="T24" s="34">
        <v>7</v>
      </c>
      <c r="U24" s="33" t="s">
        <v>114</v>
      </c>
      <c r="V24" s="39">
        <f>VLOOKUP($I$4,Data_Disability!$A$5:$AD$84,11)</f>
        <v>52.989934872705746</v>
      </c>
      <c r="W24" s="39">
        <f>VLOOKUP($I$4,Data_Disability!$A$5:$AD$84,9)</f>
        <v>54.736129905277394</v>
      </c>
    </row>
    <row r="25" spans="4:23" ht="13.5" customHeight="1" x14ac:dyDescent="0.5">
      <c r="D25" s="22"/>
      <c r="F25" s="48"/>
      <c r="G25" s="48"/>
      <c r="P25" s="24"/>
      <c r="U25" s="33" t="s">
        <v>93</v>
      </c>
      <c r="V25" s="39">
        <f>VLOOKUP($I$4,Data_Disability!$A$5:$AD$84,12)</f>
        <v>19.725328355908694</v>
      </c>
      <c r="W25" s="39">
        <f>VLOOKUP($I$4,Data_Disability!$A$5:$AD$84,10)</f>
        <v>23.837482795268045</v>
      </c>
    </row>
    <row r="26" spans="4:23" ht="13.5" customHeight="1" x14ac:dyDescent="0.5">
      <c r="D26" s="22"/>
      <c r="E26" s="67" t="s">
        <v>134</v>
      </c>
      <c r="F26" s="67"/>
      <c r="G26" s="67"/>
      <c r="P26" s="24"/>
    </row>
    <row r="27" spans="4:23" ht="13.5" customHeight="1" x14ac:dyDescent="0.5">
      <c r="D27" s="22"/>
      <c r="E27" s="60" t="str">
        <f>CONCATENATE(ROUND(W13,1),"%")</f>
        <v>11.5%</v>
      </c>
      <c r="F27" s="21" t="s">
        <v>142</v>
      </c>
      <c r="M27" s="62" t="s">
        <v>139</v>
      </c>
      <c r="N27" s="62"/>
      <c r="O27" s="62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13.222361809045227</v>
      </c>
    </row>
    <row r="28" spans="4:23" ht="13.5" customHeight="1" x14ac:dyDescent="0.5">
      <c r="D28" s="22"/>
      <c r="E28" s="60"/>
      <c r="M28" s="62"/>
      <c r="N28" s="62"/>
      <c r="O28" s="62"/>
      <c r="P28" s="24"/>
      <c r="V28" s="33" t="s">
        <v>93</v>
      </c>
      <c r="W28" s="39">
        <f>VLOOKUP($I$4,Data_Disability!$A$5:$AD$84,16)</f>
        <v>71.82000138035751</v>
      </c>
    </row>
    <row r="29" spans="4:23" ht="13.5" customHeight="1" x14ac:dyDescent="0.5">
      <c r="D29" s="22"/>
      <c r="E29" s="60"/>
      <c r="M29" s="62"/>
      <c r="N29" s="62"/>
      <c r="O29" s="62"/>
      <c r="P29" s="24"/>
      <c r="V29" s="37"/>
    </row>
    <row r="30" spans="4:23" ht="13.5" customHeight="1" x14ac:dyDescent="0.5">
      <c r="D30" s="22"/>
      <c r="M30" s="62"/>
      <c r="N30" s="62"/>
      <c r="O30" s="62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304.97491638795987</v>
      </c>
    </row>
    <row r="31" spans="4:23" ht="13.5" customHeight="1" x14ac:dyDescent="0.5">
      <c r="D31" s="22"/>
      <c r="M31" s="62" t="s">
        <v>143</v>
      </c>
      <c r="N31" s="62"/>
      <c r="O31" s="62"/>
      <c r="P31" s="24"/>
      <c r="V31" s="33" t="s">
        <v>93</v>
      </c>
      <c r="W31" s="41">
        <f>VLOOKUP($I$4,Data_Disability!$A$5:$AD$84,20)</f>
        <v>819.28971710215376</v>
      </c>
    </row>
    <row r="32" spans="4:23" ht="13.5" customHeight="1" x14ac:dyDescent="0.5">
      <c r="D32" s="22"/>
      <c r="M32" s="62"/>
      <c r="N32" s="62"/>
      <c r="O32" s="62"/>
      <c r="P32" s="24"/>
      <c r="V32" s="37"/>
      <c r="W32" s="41"/>
    </row>
    <row r="33" spans="4:26" ht="13.5" customHeight="1" x14ac:dyDescent="0.5">
      <c r="D33" s="22"/>
      <c r="M33" s="62"/>
      <c r="N33" s="62"/>
      <c r="O33" s="62"/>
      <c r="P33" s="24"/>
      <c r="T33" s="42" t="s">
        <v>126</v>
      </c>
      <c r="U33" s="33" t="s">
        <v>118</v>
      </c>
    </row>
    <row r="34" spans="4:26" ht="13.5" customHeight="1" x14ac:dyDescent="0.5">
      <c r="D34" s="22"/>
      <c r="M34" s="63"/>
      <c r="N34" s="63"/>
      <c r="O34" s="63"/>
      <c r="P34" s="24"/>
      <c r="V34" s="36" t="s">
        <v>89</v>
      </c>
      <c r="W34" s="39">
        <f>VLOOKUP($I$4,Data_Disability!$A$5:$AD$84,30)</f>
        <v>13.716300736388694</v>
      </c>
    </row>
    <row r="35" spans="4:26" ht="21" customHeight="1" x14ac:dyDescent="0.7">
      <c r="D35" s="22"/>
      <c r="E35" s="25" t="s">
        <v>107</v>
      </c>
      <c r="F35" s="26"/>
      <c r="G35" s="26"/>
      <c r="H35" s="26"/>
      <c r="I35" s="64" t="str">
        <f>CONCATENATE("Rates of early school leaving among 25-54 year-olds stand at ",ROUND(V24,0),"% among women, and ",ROUND(W24,0),"% among men")</f>
        <v>Rates of early school leaving among 25-54 year-olds stand at 53% among women, and 55% among men</v>
      </c>
      <c r="J35" s="64"/>
      <c r="K35" s="64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10.789386134979178</v>
      </c>
    </row>
    <row r="36" spans="4:26" ht="13.5" customHeight="1" x14ac:dyDescent="0.5">
      <c r="D36" s="22"/>
      <c r="E36" s="54" t="str">
        <f>CONCATENATE(ROUND(W20,0),"%")</f>
        <v>54%</v>
      </c>
      <c r="F36" s="68" t="s">
        <v>141</v>
      </c>
      <c r="G36" s="68"/>
      <c r="I36" s="48"/>
      <c r="J36" s="48"/>
      <c r="K36" s="48"/>
      <c r="P36" s="24"/>
      <c r="V36" s="36" t="s">
        <v>88</v>
      </c>
      <c r="W36" s="39">
        <f>VLOOKUP($I$4,Data_Disability!$A$5:$AD$84,29)</f>
        <v>16.562943430799656</v>
      </c>
      <c r="Z36" s="43"/>
    </row>
    <row r="37" spans="4:26" ht="13.5" customHeight="1" x14ac:dyDescent="0.5">
      <c r="D37" s="22"/>
      <c r="E37" s="54"/>
      <c r="F37" s="68"/>
      <c r="G37" s="68"/>
      <c r="I37" s="48"/>
      <c r="J37" s="48"/>
      <c r="K37" s="48"/>
      <c r="P37" s="24"/>
    </row>
    <row r="38" spans="4:26" ht="13.5" customHeight="1" x14ac:dyDescent="0.5">
      <c r="D38" s="22"/>
      <c r="F38" s="68"/>
      <c r="G38" s="68"/>
      <c r="I38" s="48"/>
      <c r="J38" s="48"/>
      <c r="K38" s="48"/>
      <c r="P38" s="24"/>
      <c r="U38" s="33" t="s">
        <v>118</v>
      </c>
    </row>
    <row r="39" spans="4:26" ht="13.5" customHeight="1" x14ac:dyDescent="0.5">
      <c r="D39" s="22"/>
      <c r="F39" s="68"/>
      <c r="G39" s="68"/>
      <c r="P39" s="24"/>
      <c r="V39" s="36" t="s">
        <v>89</v>
      </c>
      <c r="W39" s="41">
        <f>VLOOKUP($I$4,Data_Disability!$A$5:$AG$84,33)</f>
        <v>24229</v>
      </c>
    </row>
    <row r="40" spans="4:26" ht="13.5" customHeight="1" x14ac:dyDescent="0.5">
      <c r="D40" s="22"/>
      <c r="E40" s="21" t="s">
        <v>136</v>
      </c>
      <c r="P40" s="24"/>
      <c r="V40" s="38" t="s">
        <v>87</v>
      </c>
      <c r="W40" s="41">
        <f>VLOOKUP($I$4,Data_Disability!$A$5:$AG$84,31)</f>
        <v>9405</v>
      </c>
    </row>
    <row r="41" spans="4:26" ht="13.5" customHeight="1" x14ac:dyDescent="0.5">
      <c r="D41" s="22"/>
      <c r="E41" s="54" t="str">
        <f>CONCATENATE(ROUND(W21,0),"%")</f>
        <v>22%</v>
      </c>
      <c r="F41" s="21" t="s">
        <v>137</v>
      </c>
      <c r="P41" s="24"/>
      <c r="V41" s="36" t="s">
        <v>88</v>
      </c>
      <c r="W41" s="41">
        <f>VLOOKUP($I$4,Data_Disability!$A$5:$AG$84,32)</f>
        <v>14824</v>
      </c>
    </row>
    <row r="42" spans="4:26" ht="13.5" customHeight="1" x14ac:dyDescent="0.5">
      <c r="D42" s="22"/>
      <c r="E42" s="54"/>
      <c r="P42" s="24"/>
    </row>
    <row r="43" spans="4:26" ht="13.5" customHeight="1" x14ac:dyDescent="0.5">
      <c r="D43" s="22"/>
      <c r="P43" s="24"/>
    </row>
    <row r="44" spans="4:26" ht="13.5" customHeight="1" x14ac:dyDescent="0.5">
      <c r="D44" s="22"/>
      <c r="P44" s="24"/>
    </row>
    <row r="45" spans="4:26" ht="13.5" customHeight="1" x14ac:dyDescent="0.5">
      <c r="D45" s="22"/>
      <c r="P45" s="24"/>
    </row>
    <row r="46" spans="4:26" ht="13.5" customHeight="1" x14ac:dyDescent="0.5">
      <c r="D46" s="22"/>
      <c r="M46" s="56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56"/>
      <c r="O46" s="56"/>
      <c r="P46" s="24"/>
    </row>
    <row r="47" spans="4:26" ht="13.5" customHeight="1" x14ac:dyDescent="0.5">
      <c r="D47" s="22"/>
      <c r="M47" s="56"/>
      <c r="N47" s="56"/>
      <c r="O47" s="56"/>
      <c r="P47" s="24"/>
    </row>
    <row r="48" spans="4:26" ht="13.5" customHeight="1" x14ac:dyDescent="0.5">
      <c r="D48" s="22"/>
      <c r="M48" s="56"/>
      <c r="N48" s="56"/>
      <c r="O48" s="56"/>
      <c r="P48" s="24"/>
    </row>
    <row r="49" spans="4:16" ht="13.5" customHeight="1" x14ac:dyDescent="0.5">
      <c r="D49" s="22"/>
      <c r="M49" s="65"/>
      <c r="N49" s="65"/>
      <c r="O49" s="65"/>
      <c r="P49" s="24"/>
    </row>
    <row r="50" spans="4:16" ht="23.25" x14ac:dyDescent="0.7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5">
      <c r="D51" s="22"/>
      <c r="E51" s="48" t="str">
        <f>CONCATENATE("Weekly incomes among residents aged 25-64 average $",ROUND(W30,0)," for those with disability, and $",ROUND(W31,0)," for others")</f>
        <v>Weekly incomes among residents aged 25-64 average $305 for those with disability, and $819 for others</v>
      </c>
      <c r="F51" s="48"/>
      <c r="G51" s="48"/>
      <c r="I51" s="59" t="str">
        <f>CONCATENATE(ROUND(W34,0),"%")</f>
        <v>14%</v>
      </c>
      <c r="J51" s="44"/>
      <c r="K51" s="44"/>
      <c r="P51" s="24"/>
    </row>
    <row r="52" spans="4:16" ht="13.5" customHeight="1" x14ac:dyDescent="0.5">
      <c r="D52" s="22"/>
      <c r="E52" s="48"/>
      <c r="F52" s="48"/>
      <c r="G52" s="48"/>
      <c r="I52" s="59"/>
      <c r="K52" s="44"/>
      <c r="P52" s="24"/>
    </row>
    <row r="53" spans="4:16" ht="13.5" customHeight="1" x14ac:dyDescent="0.5">
      <c r="D53" s="22"/>
      <c r="E53" s="48"/>
      <c r="F53" s="48"/>
      <c r="G53" s="48"/>
      <c r="I53" s="59"/>
      <c r="J53" s="21" t="s">
        <v>144</v>
      </c>
      <c r="K53" s="44"/>
      <c r="P53" s="24"/>
    </row>
    <row r="54" spans="4:16" ht="13.5" customHeight="1" x14ac:dyDescent="0.5">
      <c r="D54" s="22"/>
      <c r="E54" s="48"/>
      <c r="F54" s="48"/>
      <c r="G54" s="48"/>
      <c r="I54" s="66" t="str">
        <f>CONCATENATE(ROUND(W36,0),"% of females and ",ROUND(W35,0),"% of males, provide unpaid care to someone with disability or a chronic illness" )</f>
        <v>17% of females and 11% of males, provide unpaid care to someone with disability or a chronic illness</v>
      </c>
      <c r="J54" s="66"/>
      <c r="K54" s="66"/>
      <c r="P54" s="24"/>
    </row>
    <row r="55" spans="4:16" ht="13.5" customHeight="1" x14ac:dyDescent="0.5">
      <c r="D55" s="22"/>
      <c r="I55" s="66"/>
      <c r="J55" s="66"/>
      <c r="K55" s="66"/>
      <c r="P55" s="24"/>
    </row>
    <row r="56" spans="4:16" ht="13.5" customHeight="1" x14ac:dyDescent="0.5">
      <c r="D56" s="22"/>
      <c r="I56" s="66"/>
      <c r="J56" s="66"/>
      <c r="K56" s="66"/>
      <c r="P56" s="24"/>
    </row>
    <row r="57" spans="4:16" ht="13.5" customHeight="1" x14ac:dyDescent="0.5">
      <c r="D57" s="22"/>
      <c r="I57" s="66"/>
      <c r="J57" s="66"/>
      <c r="K57" s="66"/>
      <c r="P57" s="24"/>
    </row>
    <row r="58" spans="4:16" ht="13.5" customHeight="1" x14ac:dyDescent="0.5">
      <c r="D58" s="22"/>
      <c r="P58" s="24"/>
    </row>
    <row r="59" spans="4:16" ht="13.5" customHeight="1" x14ac:dyDescent="0.5">
      <c r="D59" s="22"/>
      <c r="P59" s="24"/>
    </row>
    <row r="60" spans="4:16" ht="13.5" customHeight="1" x14ac:dyDescent="0.5">
      <c r="D60" s="22"/>
      <c r="P60" s="24"/>
    </row>
    <row r="61" spans="4:16" ht="13.5" customHeight="1" x14ac:dyDescent="0.5">
      <c r="D61" s="22"/>
      <c r="P61" s="24"/>
    </row>
    <row r="62" spans="4:16" ht="13.5" customHeight="1" x14ac:dyDescent="0.5">
      <c r="D62" s="22"/>
      <c r="M62" s="56" t="str" cm="1">
        <f t="array" ref="M62">CONCATENATE(ROUND(W41,0)," females in ",INDEX(Data_Disability!B5:B84,I4)," provide care, accounting for ",ROUND(W41/W39*100,0),"% of all carers")</f>
        <v>14824 females in Hume provide care, accounting for 61% of all carers</v>
      </c>
      <c r="N62" s="56"/>
      <c r="O62" s="56"/>
      <c r="P62" s="24"/>
    </row>
    <row r="63" spans="4:16" ht="13.5" customHeight="1" x14ac:dyDescent="0.5">
      <c r="D63" s="22"/>
      <c r="M63" s="56"/>
      <c r="N63" s="56"/>
      <c r="O63" s="56"/>
      <c r="P63" s="24"/>
    </row>
    <row r="64" spans="4:16" ht="13.5" customHeight="1" x14ac:dyDescent="0.5">
      <c r="D64" s="27"/>
      <c r="E64" s="28"/>
      <c r="F64" s="28"/>
      <c r="G64" s="28"/>
      <c r="H64" s="28"/>
      <c r="I64" s="28"/>
      <c r="J64" s="28"/>
      <c r="K64" s="28"/>
      <c r="L64" s="28"/>
      <c r="M64" s="57"/>
      <c r="N64" s="57"/>
      <c r="O64" s="57"/>
      <c r="P64" s="29"/>
    </row>
  </sheetData>
  <sheetProtection sheet="1" objects="1" scenarios="1"/>
  <mergeCells count="23"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  <mergeCell ref="F22:G25"/>
    <mergeCell ref="E51:G54"/>
    <mergeCell ref="D3:P3"/>
    <mergeCell ref="K4:O4"/>
    <mergeCell ref="E6:F9"/>
    <mergeCell ref="J6:K9"/>
    <mergeCell ref="M8:N10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338138</xdr:rowOff>
                  </from>
                  <to>
                    <xdr:col>9</xdr:col>
                    <xdr:colOff>585788</xdr:colOff>
                    <xdr:row>3</xdr:row>
                    <xdr:rowOff>223838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2023-03-09T08:05:16Z</cp:lastPrinted>
  <dcterms:created xsi:type="dcterms:W3CDTF">2023-03-03T20:49:02Z</dcterms:created>
  <dcterms:modified xsi:type="dcterms:W3CDTF">2023-03-21T09:21:23Z</dcterms:modified>
</cp:coreProperties>
</file>