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046487C5-1655-4B98-A36B-87BF6F8EFD6C}" xr6:coauthVersionLast="47" xr6:coauthVersionMax="47" xr10:uidLastSave="{00000000-0000-0000-0000-000000000000}"/>
  <bookViews>
    <workbookView showHorizontalScroll="0" showSheetTabs="0" xWindow="-98" yWindow="-98" windowWidth="20715" windowHeight="13276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<sst xmlns="http://schemas.openxmlformats.org/spreadsheetml/2006/main" count="923" uniqueCount="301">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</sst>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Fill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Border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4" fontId="19" fillId="0" borderId="0" xfId="0" applyNumberFormat="1" applyFont="1" applyFill="1" applyAlignment="1" applyProtection="1">
      <alignment horizontal="center"/>
      <protection hidden="1"/>
    </xf>
    <xf numFmtId="164" fontId="2" fillId="0" borderId="0" xfId="0" applyNumberFormat="1" applyFont="1" applyFill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0" fontId="0" fillId="0" borderId="0" xfId="0" applyFill="1"/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0" fillId="0" borderId="0" xfId="0" applyFont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Fill="1" applyBorder="1" applyAlignment="1" applyProtection="1">
      <alignment horizontal="center" vertical="center"/>
      <protection hidden="1"/>
    </xf>
    <xf numFmtId="0" fontId="47" fillId="0" borderId="0" xfId="7" applyFont="1" applyFill="1" applyBorder="1" applyAlignment="1" applyProtection="1">
      <alignment horizontal="left" wrapText="1"/>
      <protection locked="0" hidden="1"/>
    </xf>
    <xf numFmtId="165" fontId="47" fillId="0" borderId="0" xfId="8" applyNumberFormat="1" applyFont="1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0" xfId="0" applyFill="1" applyBorder="1" applyProtection="1">
      <protection hidden="1"/>
    </xf>
    <xf numFmtId="0" fontId="10" fillId="0" borderId="6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Font="1" applyBorder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1" fontId="10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0" fillId="0" borderId="0" xfId="0" applyFill="1" applyProtection="1">
      <protection hidden="1"/>
    </xf>
    <xf numFmtId="0" fontId="38" fillId="0" borderId="0" xfId="0" applyFont="1" applyBorder="1" applyAlignment="1" applyProtection="1">
      <alignment horizontal="right" vertical="center"/>
      <protection hidden="1"/>
    </xf>
    <xf numFmtId="0" fontId="38" fillId="0" borderId="0" xfId="0" applyFont="1" applyBorder="1" applyAlignment="1" applyProtection="1">
      <alignment horizontal="left" vertical="center"/>
      <protection hidden="1"/>
    </xf>
    <xf numFmtId="0" fontId="45" fillId="9" borderId="0" xfId="0" applyFont="1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horizontal="left" wrapText="1"/>
      <protection hidden="1"/>
    </xf>
    <xf numFmtId="0" fontId="40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39" fillId="0" borderId="0" xfId="0" applyFont="1" applyBorder="1" applyAlignment="1" applyProtection="1">
      <alignment horizontal="left" vertical="top" wrapText="1" indent="1"/>
      <protection hidden="1"/>
    </xf>
    <xf numFmtId="1" fontId="38" fillId="0" borderId="0" xfId="0" applyNumberFormat="1" applyFont="1" applyBorder="1" applyAlignment="1" applyProtection="1">
      <alignment horizontal="center" vertical="top"/>
      <protection hidden="1"/>
    </xf>
    <xf numFmtId="0" fontId="40" fillId="0" borderId="0" xfId="0" applyFont="1" applyBorder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5.4456228221619334</c:v>
                </c:pt>
                <c:pt idx="1">
                  <c:v>17.20642268556287</c:v>
                </c:pt>
                <c:pt idx="2">
                  <c:v>10.708481157550578</c:v>
                </c:pt>
                <c:pt idx="3">
                  <c:v>53.537346563205524</c:v>
                </c:pt>
                <c:pt idx="4">
                  <c:v>18.547749593681029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England</c:v>
                </c:pt>
                <c:pt idx="1">
                  <c:v>India</c:v>
                </c:pt>
                <c:pt idx="2">
                  <c:v>China</c:v>
                </c:pt>
                <c:pt idx="3">
                  <c:v>Greece</c:v>
                </c:pt>
                <c:pt idx="4">
                  <c:v>New Zealand</c:v>
                </c:pt>
                <c:pt idx="5">
                  <c:v>Vietnam</c:v>
                </c:pt>
                <c:pt idx="6">
                  <c:v>Sri Lanka</c:v>
                </c:pt>
                <c:pt idx="7">
                  <c:v>South Africa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3.9960020381766159</c:v>
                </c:pt>
                <c:pt idx="1">
                  <c:v>3.7314310351585465</c:v>
                </c:pt>
                <c:pt idx="2">
                  <c:v>2.9063614627836789</c:v>
                </c:pt>
                <c:pt idx="3">
                  <c:v>1.9349612615790643</c:v>
                </c:pt>
                <c:pt idx="4">
                  <c:v>1.5475770522217431</c:v>
                </c:pt>
                <c:pt idx="5">
                  <c:v>1.0713492467892185</c:v>
                </c:pt>
                <c:pt idx="6">
                  <c:v>1.0295404956950052</c:v>
                </c:pt>
                <c:pt idx="7">
                  <c:v>0.95964148995936716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Greek</c:v>
                </c:pt>
                <c:pt idx="1">
                  <c:v>Mandarin</c:v>
                </c:pt>
                <c:pt idx="2">
                  <c:v>Russian</c:v>
                </c:pt>
                <c:pt idx="3">
                  <c:v>Italian</c:v>
                </c:pt>
                <c:pt idx="4">
                  <c:v>Vietnamese</c:v>
                </c:pt>
                <c:pt idx="5">
                  <c:v>Cantonese</c:v>
                </c:pt>
                <c:pt idx="6">
                  <c:v>Hindi</c:v>
                </c:pt>
                <c:pt idx="7">
                  <c:v>Spanish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4.3310207477578402</c:v>
                </c:pt>
                <c:pt idx="1">
                  <c:v>3.5815595867481642</c:v>
                </c:pt>
                <c:pt idx="2">
                  <c:v>1.3633117797737204</c:v>
                </c:pt>
                <c:pt idx="3">
                  <c:v>1.3095916615894603</c:v>
                </c:pt>
                <c:pt idx="4">
                  <c:v>1.131398098831915</c:v>
                </c:pt>
                <c:pt idx="5">
                  <c:v>1.1078136567022399</c:v>
                </c:pt>
                <c:pt idx="6">
                  <c:v>0.99382218640881004</c:v>
                </c:pt>
                <c:pt idx="7">
                  <c:v>0.79531979848404444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2.9653640674710364</c:v>
                </c:pt>
                <c:pt idx="1">
                  <c:v>47.638580413656953</c:v>
                </c:pt>
                <c:pt idx="2">
                  <c:v>3.0433999639834326</c:v>
                </c:pt>
                <c:pt idx="3">
                  <c:v>1.5347059647437822</c:v>
                </c:pt>
                <c:pt idx="4">
                  <c:v>1.1165135962542769</c:v>
                </c:pt>
                <c:pt idx="5">
                  <c:v>0.89441142925745842</c:v>
                </c:pt>
                <c:pt idx="6">
                  <c:v>42.807024564633068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England</c:v>
                </c:pt>
                <c:pt idx="1">
                  <c:v>India</c:v>
                </c:pt>
                <c:pt idx="2">
                  <c:v>China</c:v>
                </c:pt>
                <c:pt idx="3">
                  <c:v>Greece</c:v>
                </c:pt>
                <c:pt idx="4">
                  <c:v>New Zealand</c:v>
                </c:pt>
                <c:pt idx="5">
                  <c:v>Vietnam</c:v>
                </c:pt>
                <c:pt idx="6">
                  <c:v>Sri Lanka</c:v>
                </c:pt>
                <c:pt idx="7">
                  <c:v>Sri Lanka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3.9960020381766159</c:v>
                </c:pt>
                <c:pt idx="1">
                  <c:v>3.7314310351585465</c:v>
                </c:pt>
                <c:pt idx="2">
                  <c:v>2.9063614627836789</c:v>
                </c:pt>
                <c:pt idx="3">
                  <c:v>1.9349612615790643</c:v>
                </c:pt>
                <c:pt idx="4">
                  <c:v>1.5475770522217431</c:v>
                </c:pt>
                <c:pt idx="5">
                  <c:v>1.0713492467892185</c:v>
                </c:pt>
                <c:pt idx="6">
                  <c:v>1.0295404956950052</c:v>
                </c:pt>
                <c:pt idx="7">
                  <c:v>1.0295404956950052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Greek</c:v>
                </c:pt>
                <c:pt idx="1">
                  <c:v>Mandarin</c:v>
                </c:pt>
                <c:pt idx="2">
                  <c:v>Russian</c:v>
                </c:pt>
                <c:pt idx="3">
                  <c:v>Italian</c:v>
                </c:pt>
                <c:pt idx="4">
                  <c:v>Vietnamese</c:v>
                </c:pt>
                <c:pt idx="5">
                  <c:v>Cantonese</c:v>
                </c:pt>
                <c:pt idx="6">
                  <c:v>Hindi</c:v>
                </c:pt>
                <c:pt idx="7">
                  <c:v>Spanish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4.3310207477578402</c:v>
                </c:pt>
                <c:pt idx="1">
                  <c:v>3.5815595867481642</c:v>
                </c:pt>
                <c:pt idx="2">
                  <c:v>1.3633117797737204</c:v>
                </c:pt>
                <c:pt idx="3">
                  <c:v>1.3095916615894603</c:v>
                </c:pt>
                <c:pt idx="4">
                  <c:v>1.131398098831915</c:v>
                </c:pt>
                <c:pt idx="5">
                  <c:v>1.1078136567022399</c:v>
                </c:pt>
                <c:pt idx="6">
                  <c:v>0.99382218640881004</c:v>
                </c:pt>
                <c:pt idx="7">
                  <c:v>0.79531979848404444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Kingston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4.3115264797507793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Mental health</c:v>
                </c:pt>
                <c:pt idx="1">
                  <c:v>Asthma </c:v>
                </c:pt>
                <c:pt idx="2">
                  <c:v>Arthritis </c:v>
                </c:pt>
                <c:pt idx="3">
                  <c:v>Diabetes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8.6072082256675291</c:v>
                </c:pt>
                <c:pt idx="1">
                  <c:v>8.5823105081826014</c:v>
                </c:pt>
                <c:pt idx="2">
                  <c:v>8.2660422049956939</c:v>
                </c:pt>
                <c:pt idx="3">
                  <c:v>4.8725506029285093</c:v>
                </c:pt>
                <c:pt idx="4">
                  <c:v>4.2575096899224807</c:v>
                </c:pt>
                <c:pt idx="5">
                  <c:v>3.2595822566752801</c:v>
                </c:pt>
                <c:pt idx="6">
                  <c:v>1.515396210163652</c:v>
                </c:pt>
                <c:pt idx="7">
                  <c:v>1.0423395779500431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35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35" val="2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423863</xdr:colOff>
          <xdr:row>1</xdr:row>
          <xdr:rowOff>157163</xdr:rowOff>
        </xdr:from>
        <xdr:to>
          <xdr:col>3</xdr:col>
          <xdr:colOff>1814513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261938</xdr:colOff>
          <xdr:row>1</xdr:row>
          <xdr:rowOff>152400</xdr:rowOff>
        </xdr:from>
        <xdr:to>
          <xdr:col>11</xdr:col>
          <xdr:colOff>381000</xdr:colOff>
          <xdr:row>3</xdr:row>
          <xdr:rowOff>14288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328613</xdr:colOff>
          <xdr:row>1</xdr:row>
          <xdr:rowOff>0</xdr:rowOff>
        </xdr:from>
        <xdr:to>
          <xdr:col>8</xdr:col>
          <xdr:colOff>290513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25" x14ac:dyDescent="0.45"/>
  <cols>
    <col min="1" max="1" width="5.59765625" customWidth="1"/>
    <col min="2" max="2" width="2.796875" bestFit="1" customWidth="1"/>
    <col min="3" max="3" width="18.265625" style="1" customWidth="1"/>
    <col min="4" max="4" width="14.265625" style="1" customWidth="1"/>
    <col min="5" max="5" width="13.265625" style="1" customWidth="1"/>
    <col min="6" max="6" width="14.265625" style="1" customWidth="1"/>
    <col min="7" max="7" width="13.265625" style="1" customWidth="1"/>
    <col min="8" max="8" width="14.265625" style="1" customWidth="1"/>
    <col min="9" max="9" width="13.265625" style="1" customWidth="1"/>
    <col min="10" max="10" width="14.265625" style="1" customWidth="1"/>
    <col min="11" max="11" width="13.265625" style="1" customWidth="1"/>
    <col min="12" max="12" width="14.265625" style="1" customWidth="1"/>
    <col min="13" max="13" width="13.265625" style="1" customWidth="1"/>
    <col min="14" max="14" width="14.265625" style="1" customWidth="1"/>
    <col min="15" max="15" width="13.265625" style="1" customWidth="1"/>
    <col min="16" max="16" width="14.265625" style="1" customWidth="1"/>
    <col min="17" max="17" width="13.265625" style="1" customWidth="1"/>
    <col min="18" max="18" width="14.265625" style="1" customWidth="1"/>
    <col min="19" max="19" width="13.265625" style="1" customWidth="1"/>
    <col min="20" max="20" width="14.265625" style="1" customWidth="1"/>
    <col min="21" max="21" width="13.265625" style="1" customWidth="1"/>
    <col min="22" max="22" width="14.265625" style="1" customWidth="1"/>
    <col min="23" max="23" width="13.265625" style="1" customWidth="1"/>
    <col min="24" max="24" width="14.265625" style="1" customWidth="1"/>
    <col min="25" max="25" width="13.265625" style="1" customWidth="1"/>
    <col min="26" max="26" width="14.265625" style="1" customWidth="1"/>
    <col min="27" max="27" width="13.265625" style="1" customWidth="1"/>
    <col min="28" max="28" width="14.265625" style="1" customWidth="1"/>
    <col min="29" max="29" width="13.265625" style="1" customWidth="1"/>
    <col min="30" max="30" width="14.265625" style="1" customWidth="1"/>
    <col min="31" max="31" width="13.265625" style="1" customWidth="1"/>
    <col min="32" max="32" width="14.265625" style="1" customWidth="1"/>
    <col min="33" max="33" width="13.265625" style="1" customWidth="1"/>
    <col min="34" max="34" width="14.265625" style="1" customWidth="1"/>
    <col min="35" max="35" width="13.265625" style="1" customWidth="1"/>
    <col min="36" max="36" width="14.265625" style="1" customWidth="1"/>
    <col min="37" max="37" width="13.265625" style="1" customWidth="1"/>
    <col min="38" max="38" width="14.265625" style="1" customWidth="1"/>
    <col min="39" max="39" width="13.265625" style="1" customWidth="1"/>
    <col min="40" max="40" width="14.265625" style="1" customWidth="1"/>
    <col min="41" max="41" width="13.265625" style="1" customWidth="1"/>
    <col min="42" max="42" width="14.265625" style="1" customWidth="1"/>
    <col min="43" max="43" width="13.265625" style="1" customWidth="1"/>
    <col min="44" max="44" width="14.265625" style="1" customWidth="1"/>
    <col min="45" max="45" width="13.265625" style="1" customWidth="1"/>
    <col min="46" max="46" width="14.265625" style="1" customWidth="1"/>
    <col min="47" max="47" width="13.265625" style="1" customWidth="1"/>
    <col min="48" max="48" width="14.265625" style="1" customWidth="1"/>
    <col min="49" max="49" width="13.265625" style="1" customWidth="1"/>
    <col min="50" max="50" width="14.265625" style="1" customWidth="1"/>
    <col min="51" max="51" width="13.265625" style="1" customWidth="1"/>
    <col min="52" max="52" width="14.265625" style="1" customWidth="1"/>
    <col min="53" max="53" width="13.265625" style="1" customWidth="1"/>
    <col min="54" max="54" width="14.265625" style="1" customWidth="1"/>
    <col min="55" max="55" width="13.265625" style="1" customWidth="1"/>
    <col min="56" max="56" width="14.265625" style="1" customWidth="1"/>
    <col min="57" max="57" width="13.265625" style="1" customWidth="1"/>
    <col min="58" max="58" width="14.265625" style="1" customWidth="1"/>
    <col min="59" max="59" width="13.265625" style="1" customWidth="1"/>
    <col min="60" max="60" width="14.265625" style="1" customWidth="1"/>
    <col min="61" max="61" width="13.265625" style="1" customWidth="1"/>
    <col min="62" max="62" width="14.265625" style="1" customWidth="1"/>
    <col min="63" max="63" width="13.265625" style="1" customWidth="1"/>
    <col min="64" max="64" width="14.265625" style="1" customWidth="1"/>
    <col min="65" max="65" width="13.265625" style="1" customWidth="1"/>
    <col min="66" max="66" width="14.265625" style="1" customWidth="1"/>
    <col min="67" max="67" width="13.265625" style="1" customWidth="1"/>
    <col min="68" max="68" width="14.265625" style="1" customWidth="1"/>
    <col min="69" max="69" width="13.265625" style="1" customWidth="1"/>
    <col min="70" max="70" width="14.265625" style="1" customWidth="1"/>
    <col min="71" max="71" width="13.265625" style="1" customWidth="1"/>
    <col min="72" max="72" width="14.265625" style="1" customWidth="1"/>
    <col min="73" max="73" width="13.265625" style="1" customWidth="1"/>
    <col min="74" max="74" width="14.265625" style="1" customWidth="1"/>
    <col min="75" max="75" width="13.265625" style="1" customWidth="1"/>
    <col min="76" max="76" width="14.265625" style="1" customWidth="1"/>
    <col min="77" max="77" width="13.265625" style="1" customWidth="1"/>
    <col min="78" max="78" width="14.265625" style="1" customWidth="1"/>
    <col min="79" max="79" width="13.265625" style="1" customWidth="1"/>
    <col min="80" max="80" width="14.265625" style="1" customWidth="1"/>
    <col min="81" max="81" width="13.265625" style="1" customWidth="1"/>
    <col min="82" max="82" width="14.265625" style="1" customWidth="1"/>
    <col min="83" max="83" width="13.265625" style="1" customWidth="1"/>
    <col min="84" max="84" width="14.265625" style="1" customWidth="1"/>
    <col min="85" max="85" width="13.265625" style="1" customWidth="1"/>
    <col min="86" max="86" width="14.265625" style="1" customWidth="1"/>
    <col min="87" max="87" width="13.265625" style="1" customWidth="1"/>
    <col min="88" max="88" width="14.265625" style="1" customWidth="1"/>
    <col min="89" max="89" width="13.265625" style="1" customWidth="1"/>
    <col min="90" max="90" width="14.265625" style="1" customWidth="1"/>
    <col min="91" max="91" width="13.265625" style="1" customWidth="1"/>
    <col min="92" max="92" width="14.265625" style="1" customWidth="1"/>
    <col min="93" max="93" width="13.265625" style="1" customWidth="1"/>
    <col min="94" max="94" width="14.265625" style="1" customWidth="1"/>
    <col min="95" max="95" width="13.265625" style="1" customWidth="1"/>
    <col min="96" max="96" width="14.265625" style="1" customWidth="1"/>
    <col min="97" max="97" width="13.265625" style="1" customWidth="1"/>
    <col min="98" max="98" width="14.265625" style="1" customWidth="1"/>
    <col min="99" max="99" width="13.265625" style="1" customWidth="1"/>
    <col min="100" max="100" width="14.265625" style="1" customWidth="1"/>
    <col min="101" max="101" width="13.265625" style="1" customWidth="1"/>
    <col min="102" max="102" width="14.265625" style="1" customWidth="1"/>
    <col min="103" max="103" width="13.265625" style="1" customWidth="1"/>
    <col min="104" max="104" width="14.265625" style="1" customWidth="1"/>
    <col min="105" max="105" width="13.265625" style="1" customWidth="1"/>
    <col min="106" max="106" width="14.265625" style="1" customWidth="1"/>
    <col min="107" max="107" width="13.265625" style="1" customWidth="1"/>
    <col min="108" max="108" width="14.265625" style="1" customWidth="1"/>
    <col min="109" max="109" width="13.265625" style="1" customWidth="1"/>
    <col min="110" max="110" width="14.265625" style="1" customWidth="1"/>
    <col min="111" max="111" width="13.265625" style="1" customWidth="1"/>
    <col min="112" max="112" width="14.265625" style="1" customWidth="1"/>
    <col min="113" max="113" width="13.265625" style="1" customWidth="1"/>
    <col min="114" max="114" width="14.265625" style="1" customWidth="1"/>
    <col min="115" max="115" width="13.265625" style="1" customWidth="1"/>
    <col min="116" max="116" width="14.265625" style="1" customWidth="1"/>
    <col min="117" max="117" width="13.265625" style="1" customWidth="1"/>
    <col min="118" max="118" width="14.265625" style="1" customWidth="1"/>
    <col min="119" max="119" width="13.265625" style="1" customWidth="1"/>
    <col min="120" max="120" width="14.265625" style="1" customWidth="1"/>
    <col min="121" max="121" width="13.265625" style="1" customWidth="1"/>
    <col min="122" max="122" width="14.265625" style="1" customWidth="1"/>
    <col min="123" max="123" width="13.265625" style="1" customWidth="1"/>
    <col min="124" max="124" width="14.265625" style="1" customWidth="1"/>
    <col min="125" max="125" width="13.265625" style="1" customWidth="1"/>
    <col min="126" max="126" width="14.265625" style="1" customWidth="1"/>
    <col min="127" max="127" width="13.265625" style="1" customWidth="1"/>
    <col min="128" max="128" width="14.265625" style="1" customWidth="1"/>
    <col min="129" max="129" width="13.265625" style="1" customWidth="1"/>
    <col min="130" max="130" width="14.265625" style="1" customWidth="1"/>
    <col min="131" max="131" width="13.265625" style="1" customWidth="1"/>
    <col min="132" max="132" width="14.265625" style="1" customWidth="1"/>
    <col min="133" max="133" width="13.265625" style="1" customWidth="1"/>
    <col min="134" max="134" width="14.265625" style="1" customWidth="1"/>
    <col min="135" max="135" width="13.265625" style="1" customWidth="1"/>
    <col min="136" max="136" width="14.265625" style="1" customWidth="1"/>
    <col min="137" max="137" width="13.265625" style="1" customWidth="1"/>
    <col min="138" max="138" width="14.265625" style="1" customWidth="1"/>
    <col min="139" max="139" width="13.265625" style="1" customWidth="1"/>
    <col min="140" max="140" width="14.265625" style="1" customWidth="1"/>
    <col min="141" max="141" width="13.265625" style="1" customWidth="1"/>
    <col min="142" max="142" width="14.265625" style="1" customWidth="1"/>
    <col min="143" max="143" width="13.265625" style="1" customWidth="1"/>
    <col min="144" max="144" width="14.265625" style="1" customWidth="1"/>
    <col min="145" max="145" width="13.265625" style="1" customWidth="1"/>
    <col min="146" max="146" width="14.265625" style="1" customWidth="1"/>
    <col min="147" max="147" width="13.265625" style="1" customWidth="1"/>
    <col min="148" max="148" width="14.265625" style="1" customWidth="1"/>
    <col min="149" max="149" width="13.265625" style="1" customWidth="1"/>
    <col min="150" max="150" width="14.265625" style="1" customWidth="1"/>
    <col min="151" max="151" width="13.265625" style="1" customWidth="1"/>
    <col min="152" max="152" width="14.265625" style="1" customWidth="1"/>
    <col min="153" max="153" width="13.265625" style="1" customWidth="1"/>
    <col min="154" max="154" width="14.265625" style="1" customWidth="1"/>
    <col min="155" max="155" width="13.265625" style="1" customWidth="1"/>
    <col min="156" max="156" width="14.265625" style="1" customWidth="1"/>
    <col min="157" max="157" width="13.265625" style="1" customWidth="1"/>
    <col min="158" max="158" width="14.265625" style="1" customWidth="1"/>
    <col min="159" max="159" width="13.265625" style="1" customWidth="1"/>
    <col min="160" max="160" width="14.265625" style="1" customWidth="1"/>
    <col min="161" max="161" width="13.265625" style="1" customWidth="1"/>
    <col min="162" max="162" width="14.265625" style="1" customWidth="1"/>
    <col min="163" max="163" width="13.265625" style="1" customWidth="1"/>
    <col min="164" max="164" width="14.265625" style="1" customWidth="1"/>
    <col min="165" max="165" width="13.265625" style="1" customWidth="1"/>
  </cols>
  <sheetData>
    <row r="3" spans="2:165" x14ac:dyDescent="0.4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4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4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4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45">
      <c r="B7" s="18">
        <v>2</v>
      </c>
    </row>
    <row r="8" spans="2:165" x14ac:dyDescent="0.45">
      <c r="B8" s="18">
        <v>3</v>
      </c>
      <c r="C8" s="2" t="s">
        <v>3</v>
      </c>
    </row>
    <row r="9" spans="2:165" x14ac:dyDescent="0.4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4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4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4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4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45">
      <c r="B14" s="18">
        <v>9</v>
      </c>
    </row>
    <row r="15" spans="2:165" x14ac:dyDescent="0.4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45">
      <c r="B16" s="18">
        <v>11</v>
      </c>
    </row>
    <row r="17" spans="2:165" x14ac:dyDescent="0.45">
      <c r="B17" s="18">
        <v>12</v>
      </c>
      <c r="C17" s="2" t="s">
        <v>10</v>
      </c>
    </row>
    <row r="18" spans="2:165" x14ac:dyDescent="0.4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4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4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4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4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4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4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4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4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4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4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4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4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4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4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4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4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4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4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4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4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4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4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4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4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4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4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4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4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4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4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4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4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4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4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4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4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4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4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4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4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4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4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4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4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4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4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4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4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4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4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4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4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45">
      <c r="B71" s="18">
        <v>66</v>
      </c>
    </row>
    <row r="72" spans="2:165" x14ac:dyDescent="0.45">
      <c r="B72" s="18">
        <v>67</v>
      </c>
      <c r="C72" s="2" t="s">
        <v>65</v>
      </c>
    </row>
    <row r="73" spans="2:165" x14ac:dyDescent="0.45">
      <c r="B73" s="18">
        <v>68</v>
      </c>
      <c r="C73" s="1" t="s">
        <v>66</v>
      </c>
      <c r="D73" s="3">
        <v>62</v>
      </c>
      <c r="E73" s="75">
        <f>D73/D6*100</f>
        <v>0.46845485455232333</v>
      </c>
      <c r="F73" s="3">
        <v>145</v>
      </c>
      <c r="G73" s="75">
        <f>F73/F6*100</f>
        <v>1.2205387205387206</v>
      </c>
      <c r="H73" s="3">
        <v>967</v>
      </c>
      <c r="I73" s="75">
        <f>H73/H6*100</f>
        <v>0.85001274579608477</v>
      </c>
      <c r="J73" s="3">
        <v>1466</v>
      </c>
      <c r="K73" s="75">
        <f>J73/J6*100</f>
        <v>1.1613168985075573</v>
      </c>
      <c r="L73" s="3">
        <v>149</v>
      </c>
      <c r="M73" s="75">
        <f>L73/L6*100</f>
        <v>0.36529456471107408</v>
      </c>
      <c r="N73" s="3">
        <v>348</v>
      </c>
      <c r="O73" s="75">
        <f>N73/N6*100</f>
        <v>0.60389407559087904</v>
      </c>
      <c r="P73" s="3">
        <v>1574</v>
      </c>
      <c r="Q73" s="75">
        <f>P73/P6*100</f>
        <v>1.5537085661263894</v>
      </c>
      <c r="R73" s="3">
        <v>85</v>
      </c>
      <c r="S73" s="75">
        <f>R73/R6*100</f>
        <v>0.58507709251101325</v>
      </c>
      <c r="T73" s="3">
        <v>3975</v>
      </c>
      <c r="U73" s="75">
        <f>T73/T6*100</f>
        <v>2.3674806432400235</v>
      </c>
      <c r="V73" s="3">
        <v>5507</v>
      </c>
      <c r="W73" s="75">
        <f>V73/V6*100</f>
        <v>2.8296457676062854</v>
      </c>
      <c r="X73" s="3">
        <v>58</v>
      </c>
      <c r="Y73" s="75">
        <f>X73/X6*100</f>
        <v>0.93881515053415354</v>
      </c>
      <c r="Z73" s="3">
        <v>228</v>
      </c>
      <c r="AA73" s="75">
        <f>Z73/Z6*100</f>
        <v>0.58861494772169876</v>
      </c>
      <c r="AB73" s="3">
        <v>1430</v>
      </c>
      <c r="AC73" s="75">
        <f>AB73/AB6*100</f>
        <v>1.2098752897778229</v>
      </c>
      <c r="AD73" s="3">
        <v>8588</v>
      </c>
      <c r="AE73" s="75">
        <f>AD73/AD6*100</f>
        <v>2.3513370696995666</v>
      </c>
      <c r="AF73" s="3">
        <v>45</v>
      </c>
      <c r="AG73" s="75">
        <f>AF73/AF6*100</f>
        <v>0.33375361566416967</v>
      </c>
      <c r="AH73" s="3">
        <v>213</v>
      </c>
      <c r="AI73" s="75">
        <f>AH73/AH6*100</f>
        <v>0.94991749542880066</v>
      </c>
      <c r="AJ73" s="3">
        <v>80</v>
      </c>
      <c r="AK73" s="75">
        <f>AJ73/AJ6*100</f>
        <v>0.49643189574930185</v>
      </c>
      <c r="AL73" s="3">
        <v>2998</v>
      </c>
      <c r="AM73" s="75">
        <f>AL73/AL6*100</f>
        <v>2.0179040183078683</v>
      </c>
      <c r="AN73" s="3">
        <v>217</v>
      </c>
      <c r="AO73" s="75">
        <f>AN73/AN6*100</f>
        <v>0.44544801395873956</v>
      </c>
      <c r="AP73" s="3">
        <v>969</v>
      </c>
      <c r="AQ73" s="75">
        <f>AP73/AP6*100</f>
        <v>0.69571585499816924</v>
      </c>
      <c r="AR73" s="3">
        <v>39</v>
      </c>
      <c r="AS73" s="75">
        <f>AR73/AR6*100</f>
        <v>0.36506599269868018</v>
      </c>
      <c r="AT73" s="3">
        <v>4358</v>
      </c>
      <c r="AU73" s="75">
        <f>AT73/AT6*100</f>
        <v>2.9266392671985386</v>
      </c>
      <c r="AV73" s="3">
        <v>70</v>
      </c>
      <c r="AW73" s="75">
        <f>AV73/AV6*100</f>
        <v>0.34736006351726878</v>
      </c>
      <c r="AX73" s="3">
        <v>39</v>
      </c>
      <c r="AY73" s="75">
        <f>AX73/AX6*100</f>
        <v>0.15609365619371623</v>
      </c>
      <c r="AZ73" s="3">
        <v>732</v>
      </c>
      <c r="BA73" s="75">
        <f>AZ73/AZ6*100</f>
        <v>0.60261793035317368</v>
      </c>
      <c r="BB73" s="3">
        <v>6882</v>
      </c>
      <c r="BC73" s="75">
        <f>BB73/BB6*100</f>
        <v>4.3499696601941746</v>
      </c>
      <c r="BD73" s="3">
        <v>3362</v>
      </c>
      <c r="BE73" s="75">
        <f>BD73/BD6*100</f>
        <v>1.2403295247862995</v>
      </c>
      <c r="BF73" s="3">
        <v>1223</v>
      </c>
      <c r="BG73" s="75">
        <f>BF73/BF6*100</f>
        <v>1.7877764621614116</v>
      </c>
      <c r="BH73" s="3">
        <v>60</v>
      </c>
      <c r="BI73" s="75">
        <f>BH73/BH6*100</f>
        <v>0.36135870874488074</v>
      </c>
      <c r="BJ73" s="3">
        <v>30</v>
      </c>
      <c r="BK73" s="75">
        <f>BJ73/BJ6*100</f>
        <v>0.52650052650052648</v>
      </c>
      <c r="BL73" s="3">
        <v>1457</v>
      </c>
      <c r="BM73" s="75">
        <f>BL73/BL6*100</f>
        <v>1.5954534504281552</v>
      </c>
      <c r="BN73" s="3">
        <v>108</v>
      </c>
      <c r="BO73" s="75">
        <f>BN73/BN6*100</f>
        <v>0.52866023789710703</v>
      </c>
      <c r="BP73" s="3">
        <v>6759</v>
      </c>
      <c r="BQ73" s="75">
        <f>BP73/BP6*100</f>
        <v>2.7712063501174655</v>
      </c>
      <c r="BR73" s="3">
        <v>30</v>
      </c>
      <c r="BS73" s="75">
        <f>BR73/BR6*100</f>
        <v>0.17273146015660987</v>
      </c>
      <c r="BT73" s="3">
        <v>2374</v>
      </c>
      <c r="BU73" s="75">
        <f>BT73/BT6*100</f>
        <v>1.5013058958192362</v>
      </c>
      <c r="BV73" s="3">
        <v>2077</v>
      </c>
      <c r="BW73" s="75">
        <f>BV73/BV6*100</f>
        <v>1.3054436434259569</v>
      </c>
      <c r="BX73" s="3">
        <v>489</v>
      </c>
      <c r="BY73" s="75">
        <f>BX73/BX6*100</f>
        <v>0.63245298636798675</v>
      </c>
      <c r="BZ73" s="3">
        <v>38</v>
      </c>
      <c r="CA73" s="75">
        <f>BZ73/BZ6*100</f>
        <v>0.48975383425699187</v>
      </c>
      <c r="CB73" s="3">
        <v>194</v>
      </c>
      <c r="CC73" s="75">
        <f>CB73/CB6*100</f>
        <v>0.37700649073030429</v>
      </c>
      <c r="CD73" s="3">
        <v>3020</v>
      </c>
      <c r="CE73" s="75">
        <f>CD73/CD6*100</f>
        <v>2.4218123496391337</v>
      </c>
      <c r="CF73" s="3">
        <v>66</v>
      </c>
      <c r="CG73" s="75">
        <f>CF73/CF6*100</f>
        <v>0.64845745726075854</v>
      </c>
      <c r="CH73" s="3">
        <v>2454</v>
      </c>
      <c r="CI73" s="75">
        <f>CH73/CH6*100</f>
        <v>2.8799774671689611</v>
      </c>
      <c r="CJ73" s="3">
        <v>1428</v>
      </c>
      <c r="CK73" s="75">
        <f>CJ73/CJ6*100</f>
        <v>1.2412750015211704</v>
      </c>
      <c r="CL73" s="3">
        <v>17839</v>
      </c>
      <c r="CM73" s="75">
        <f>CL73/CL6*100</f>
        <v>11.923269725629115</v>
      </c>
      <c r="CN73" s="3">
        <v>3418</v>
      </c>
      <c r="CO73" s="75">
        <f>CN73/CN6*100</f>
        <v>1.9099240053643274</v>
      </c>
      <c r="CP73" s="3">
        <v>1006</v>
      </c>
      <c r="CQ73" s="75">
        <f>CP73/CP6*100</f>
        <v>1.7657796812469282</v>
      </c>
      <c r="CR73" s="3">
        <v>433</v>
      </c>
      <c r="CS73" s="75">
        <f>CR73/CR6*100</f>
        <v>0.87545491306105938</v>
      </c>
      <c r="CT73" s="3">
        <v>214</v>
      </c>
      <c r="CU73" s="75">
        <f>CT73/CT6*100</f>
        <v>0.70113360854465634</v>
      </c>
      <c r="CV73" s="3">
        <v>9238</v>
      </c>
      <c r="CW73" s="75">
        <f>CV73/CV6*100</f>
        <v>4.8519672053656304</v>
      </c>
      <c r="CX73" s="3">
        <v>1879</v>
      </c>
      <c r="CY73" s="75">
        <f>CX73/CX6*100</f>
        <v>1.5420472544336936</v>
      </c>
      <c r="CZ73" s="3">
        <v>203</v>
      </c>
      <c r="DA73" s="75">
        <f>CZ73/CZ6*100</f>
        <v>0.53943452380952384</v>
      </c>
      <c r="DB73" s="3">
        <v>4411</v>
      </c>
      <c r="DC73" s="75">
        <f>DB73/DB6*100</f>
        <v>2.5741580443168357</v>
      </c>
      <c r="DD73" s="3">
        <v>644</v>
      </c>
      <c r="DE73" s="75">
        <f>DD73/DD6*100</f>
        <v>0.38118237564220947</v>
      </c>
      <c r="DF73" s="3">
        <v>47</v>
      </c>
      <c r="DG73" s="75">
        <f>DF73/DF6*100</f>
        <v>0.23206438552313241</v>
      </c>
      <c r="DH73" s="3">
        <v>70</v>
      </c>
      <c r="DI73" s="75">
        <f>DH73/DH6*100</f>
        <v>0.40290088638194999</v>
      </c>
      <c r="DJ73" s="3">
        <v>45</v>
      </c>
      <c r="DK73" s="75">
        <f>DJ73/DJ6*100</f>
        <v>0.29611107455418834</v>
      </c>
      <c r="DL73" s="3">
        <v>189</v>
      </c>
      <c r="DM73" s="75">
        <f>DL73/DL6*100</f>
        <v>0.30050083472454092</v>
      </c>
      <c r="DN73" s="3">
        <v>115</v>
      </c>
      <c r="DO73" s="75">
        <f>DN73/DN6*100</f>
        <v>0.96250418480080346</v>
      </c>
      <c r="DP73" s="3">
        <v>3660</v>
      </c>
      <c r="DQ73" s="75">
        <f>DP73/DP6*100</f>
        <v>3.5902768240764353</v>
      </c>
      <c r="DR73" s="3">
        <v>8</v>
      </c>
      <c r="DS73" s="75">
        <f>DR73/DR6*100</f>
        <v>0.10428888019814886</v>
      </c>
      <c r="DT73" s="3">
        <v>4</v>
      </c>
      <c r="DU73" s="75">
        <f>DT73/DT6*100</f>
        <v>0.1221001221001221</v>
      </c>
      <c r="DV73" s="3">
        <v>83</v>
      </c>
      <c r="DW73" s="75">
        <f>DV73/DV6*100</f>
        <v>0.27144585799784149</v>
      </c>
      <c r="DX73" s="3">
        <v>58</v>
      </c>
      <c r="DY73" s="75">
        <f>DX73/DX6*100</f>
        <v>0.34965034965034963</v>
      </c>
      <c r="DZ73" s="3">
        <v>3555</v>
      </c>
      <c r="EA73" s="75">
        <f>DZ73/DZ6*100</f>
        <v>3.3953181857253369</v>
      </c>
      <c r="EB73" s="3">
        <v>43</v>
      </c>
      <c r="EC73" s="75">
        <f>EB73/EB6*100</f>
        <v>0.37538192928852027</v>
      </c>
      <c r="ED73" s="3">
        <v>213</v>
      </c>
      <c r="EE73" s="75">
        <f>ED73/ED6*100</f>
        <v>0.56507667002705997</v>
      </c>
      <c r="EF73" s="3">
        <v>590</v>
      </c>
      <c r="EG73" s="75">
        <f>EF73/EF6*100</f>
        <v>2.7566229033313085</v>
      </c>
      <c r="EH73" s="3">
        <v>33</v>
      </c>
      <c r="EI73" s="75">
        <f>EH73/EH6*100</f>
        <v>0.53029085650008034</v>
      </c>
      <c r="EJ73" s="3">
        <v>181</v>
      </c>
      <c r="EK73" s="75">
        <f>EJ73/EJ6*100</f>
        <v>0.6072195383789587</v>
      </c>
      <c r="EL73" s="3">
        <v>424</v>
      </c>
      <c r="EM73" s="75">
        <f>EL73/EL6*100</f>
        <v>1.1975371405976387</v>
      </c>
      <c r="EN73" s="3">
        <v>244</v>
      </c>
      <c r="EO73" s="75">
        <f>EN73/EN6*100</f>
        <v>0.53463046955454763</v>
      </c>
      <c r="EP73" s="3">
        <v>22</v>
      </c>
      <c r="EQ73" s="75">
        <f>EP73/EP6*100</f>
        <v>0.54917623564653029</v>
      </c>
      <c r="ER73" s="3">
        <v>5817</v>
      </c>
      <c r="ES73" s="75">
        <f>ER73/ER6*100</f>
        <v>3.434979273203973</v>
      </c>
      <c r="ET73" s="3">
        <v>4983</v>
      </c>
      <c r="EU73" s="75">
        <f>ET73/ET6*100</f>
        <v>2.1722261940051264</v>
      </c>
      <c r="EV73" s="3">
        <v>359</v>
      </c>
      <c r="EW73" s="75">
        <f>EV73/EV6*100</f>
        <v>0.83000023119783606</v>
      </c>
      <c r="EX73" s="3">
        <v>12988</v>
      </c>
      <c r="EY73" s="75">
        <f>EX73/EX6*100</f>
        <v>4.447777652211732</v>
      </c>
      <c r="EZ73" s="3">
        <v>693</v>
      </c>
      <c r="FA73" s="75">
        <f>EZ73/EZ6*100</f>
        <v>0.44403721454750494</v>
      </c>
      <c r="FB73" s="3">
        <v>2387</v>
      </c>
      <c r="FC73" s="75">
        <f>FB73/FB6*100</f>
        <v>2.6488669907006681</v>
      </c>
      <c r="FD73" s="3">
        <v>13</v>
      </c>
      <c r="FE73" s="75">
        <f>FD73/FD6*100</f>
        <v>0.19829164124466137</v>
      </c>
      <c r="FF73" s="3">
        <v>129502</v>
      </c>
      <c r="FG73" s="75">
        <f>FF73/FF6*100</f>
        <v>2.6333587514615426</v>
      </c>
      <c r="FH73" s="3">
        <v>142894</v>
      </c>
      <c r="FI73" s="75">
        <f>FH73/FH6*100</f>
        <v>2.1971891711697609</v>
      </c>
    </row>
    <row r="74" spans="2:165" x14ac:dyDescent="0.45">
      <c r="B74" s="18">
        <v>69</v>
      </c>
    </row>
    <row r="75" spans="2:165" x14ac:dyDescent="0.45">
      <c r="B75" s="18">
        <v>70</v>
      </c>
      <c r="C75" s="2" t="s">
        <v>67</v>
      </c>
    </row>
    <row r="76" spans="2:165" x14ac:dyDescent="0.45">
      <c r="B76" s="18">
        <v>71</v>
      </c>
      <c r="C76" s="7" t="s">
        <v>68</v>
      </c>
      <c r="D76" s="3">
        <v>15</v>
      </c>
      <c r="E76" s="31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45">
      <c r="B77" s="18">
        <v>72</v>
      </c>
      <c r="C77" s="7" t="s">
        <v>69</v>
      </c>
      <c r="D77" s="3">
        <v>12</v>
      </c>
      <c r="E77" s="31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45">
      <c r="B78" s="18">
        <v>73</v>
      </c>
      <c r="C78" s="7" t="s">
        <v>70</v>
      </c>
      <c r="D78" s="3">
        <v>18</v>
      </c>
      <c r="E78" s="31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45">
      <c r="B79" s="18">
        <v>74</v>
      </c>
      <c r="C79" s="8" t="s">
        <v>71</v>
      </c>
      <c r="D79" s="3">
        <v>10</v>
      </c>
      <c r="E79" s="31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45">
      <c r="B80" s="18">
        <v>75</v>
      </c>
      <c r="C80" s="7" t="s">
        <v>72</v>
      </c>
      <c r="D80" s="3">
        <v>0</v>
      </c>
      <c r="E80" s="31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45">
      <c r="B81" s="18">
        <v>76</v>
      </c>
      <c r="C81" s="7" t="s">
        <v>73</v>
      </c>
      <c r="D81" s="3">
        <v>14</v>
      </c>
      <c r="E81" s="31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45">
      <c r="B82" s="18">
        <v>77</v>
      </c>
      <c r="C82" s="7" t="s">
        <v>74</v>
      </c>
      <c r="D82" s="3">
        <v>6</v>
      </c>
      <c r="E82" s="31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45">
      <c r="B83" s="18">
        <v>78</v>
      </c>
      <c r="C83" s="7" t="s">
        <v>75</v>
      </c>
      <c r="D83" s="3">
        <v>16</v>
      </c>
      <c r="E83" s="31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45">
      <c r="B84" s="18">
        <v>79</v>
      </c>
      <c r="C84" s="9" t="s">
        <v>76</v>
      </c>
      <c r="D84" s="3">
        <v>11428</v>
      </c>
      <c r="E84" s="31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45">
      <c r="B85" s="18">
        <v>80</v>
      </c>
      <c r="C85" s="10" t="s">
        <v>77</v>
      </c>
      <c r="D85" s="3">
        <v>47</v>
      </c>
      <c r="E85" s="31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45">
      <c r="B86" s="18">
        <v>81</v>
      </c>
      <c r="C86" s="7" t="s">
        <v>78</v>
      </c>
      <c r="D86" s="3">
        <v>41</v>
      </c>
      <c r="E86" s="31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45">
      <c r="B87" s="18">
        <v>82</v>
      </c>
      <c r="C87" s="7" t="s">
        <v>79</v>
      </c>
      <c r="D87" s="3">
        <v>60</v>
      </c>
      <c r="E87" s="31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4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4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4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4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4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4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4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4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4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4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4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4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4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4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4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4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4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4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4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4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4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4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4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4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4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4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4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4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4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4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4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45">
      <c r="B119" s="18">
        <v>114</v>
      </c>
    </row>
    <row r="120" spans="2:166" x14ac:dyDescent="0.45">
      <c r="B120" s="18">
        <v>115</v>
      </c>
      <c r="C120" s="6" t="s">
        <v>109</v>
      </c>
      <c r="D120" s="3">
        <v>87</v>
      </c>
      <c r="E120" s="75">
        <f>D120/D6*100</f>
        <v>0.65734794106535699</v>
      </c>
      <c r="F120" s="3">
        <v>62</v>
      </c>
      <c r="G120" s="75">
        <f>F120/F6*100</f>
        <v>0.52188552188552195</v>
      </c>
      <c r="H120" s="3">
        <v>477</v>
      </c>
      <c r="I120" s="75">
        <f>H120/H6*100</f>
        <v>0.41929274017035417</v>
      </c>
      <c r="J120" s="3">
        <v>2791</v>
      </c>
      <c r="K120" s="75">
        <f>J120/J6*100</f>
        <v>2.2109382426566113</v>
      </c>
      <c r="L120" s="3">
        <v>155</v>
      </c>
      <c r="M120" s="75">
        <f>L120/L6*100</f>
        <v>0.38000441295447301</v>
      </c>
      <c r="N120" s="3">
        <v>236</v>
      </c>
      <c r="O120" s="75">
        <f>N120/N6*100</f>
        <v>0.40953736160760768</v>
      </c>
      <c r="P120" s="3">
        <v>1417</v>
      </c>
      <c r="Q120" s="75">
        <f>P120/P6*100</f>
        <v>1.398732552859653</v>
      </c>
      <c r="R120" s="3">
        <v>38</v>
      </c>
      <c r="S120" s="75">
        <f>R120/R6*100</f>
        <v>0.26156387665198239</v>
      </c>
      <c r="T120" s="3">
        <v>5807</v>
      </c>
      <c r="U120" s="75">
        <f>T120/T6*100</f>
        <v>3.4586063132817153</v>
      </c>
      <c r="V120" s="3">
        <v>23279</v>
      </c>
      <c r="W120" s="75">
        <f>V120/V6*100</f>
        <v>11.961380756147941</v>
      </c>
      <c r="X120" s="3">
        <v>16</v>
      </c>
      <c r="Y120" s="75">
        <f>X120/X6*100</f>
        <v>0.25898348980252511</v>
      </c>
      <c r="Z120" s="3">
        <v>152</v>
      </c>
      <c r="AA120" s="75">
        <f>Z120/Z6*100</f>
        <v>0.39240996514779919</v>
      </c>
      <c r="AB120" s="3">
        <v>1630</v>
      </c>
      <c r="AC120" s="75">
        <f>AB120/AB6*100</f>
        <v>1.3790886170194765</v>
      </c>
      <c r="AD120" s="3">
        <v>16645</v>
      </c>
      <c r="AE120" s="75">
        <f>AD120/AD6*100</f>
        <v>4.5572898841580445</v>
      </c>
      <c r="AF120" s="3">
        <v>17</v>
      </c>
      <c r="AG120" s="75">
        <f>AF120/AF6*100</f>
        <v>0.12608469925090854</v>
      </c>
      <c r="AH120" s="3">
        <v>251</v>
      </c>
      <c r="AI120" s="75">
        <f>AH120/AH6*100</f>
        <v>1.1193863443785399</v>
      </c>
      <c r="AJ120" s="3">
        <v>28</v>
      </c>
      <c r="AK120" s="75">
        <f>AJ120/AJ6*100</f>
        <v>0.17375116351225567</v>
      </c>
      <c r="AL120" s="3">
        <v>7718</v>
      </c>
      <c r="AM120" s="75">
        <f>AL120/AL6*100</f>
        <v>5.1948576428619502</v>
      </c>
      <c r="AN120" s="3">
        <v>188</v>
      </c>
      <c r="AO120" s="75">
        <f>AN120/AN6*100</f>
        <v>0.38591809504259472</v>
      </c>
      <c r="AP120" s="3">
        <v>1462</v>
      </c>
      <c r="AQ120" s="75">
        <f>AP120/AP6*100</f>
        <v>1.0496765531551324</v>
      </c>
      <c r="AR120" s="3">
        <v>17</v>
      </c>
      <c r="AS120" s="75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5">
        <f>AV120/AV6*100</f>
        <v>0.12901945216355698</v>
      </c>
      <c r="AX120" s="3">
        <v>36</v>
      </c>
      <c r="AY120" s="75">
        <f>AX120/AX6*100</f>
        <v>0.14408645187112268</v>
      </c>
      <c r="AZ120" s="3">
        <v>1133</v>
      </c>
      <c r="BA120" s="75">
        <f>AZ120/AZ6*100</f>
        <v>0.93274059438544499</v>
      </c>
      <c r="BB120" s="3">
        <v>22748</v>
      </c>
      <c r="BC120" s="75">
        <f>BB120/BB6*100</f>
        <v>14.378539644012944</v>
      </c>
      <c r="BD120" s="3">
        <v>3364</v>
      </c>
      <c r="BE120" s="75">
        <f>BD120/BD6*100</f>
        <v>1.241067376972371</v>
      </c>
      <c r="BF120" s="3">
        <v>1910</v>
      </c>
      <c r="BG120" s="75">
        <f>BF120/BF6*100</f>
        <v>2.7920302884123434</v>
      </c>
      <c r="BH120" s="3">
        <v>51</v>
      </c>
      <c r="BI120" s="75">
        <f>BH120/BH6*100</f>
        <v>0.30715490243314864</v>
      </c>
      <c r="BJ120" s="3">
        <v>107</v>
      </c>
      <c r="BK120" s="75">
        <f>BJ120/BJ6*100</f>
        <v>1.8778518778518778</v>
      </c>
      <c r="BL120" s="3">
        <v>3074</v>
      </c>
      <c r="BM120" s="75">
        <f>BL120/BL6*100</f>
        <v>3.3661111232780714</v>
      </c>
      <c r="BN120" s="3">
        <v>91</v>
      </c>
      <c r="BO120" s="75">
        <f>BN120/BN6*100</f>
        <v>0.4454452004503402</v>
      </c>
      <c r="BP120" s="3">
        <v>16195</v>
      </c>
      <c r="BQ120" s="75">
        <f>BP120/BP6*100</f>
        <v>6.6399891759361385</v>
      </c>
      <c r="BR120" s="3">
        <v>19</v>
      </c>
      <c r="BS120" s="75">
        <f>BR120/BR6*100</f>
        <v>0.10939659143251958</v>
      </c>
      <c r="BT120" s="3">
        <v>5258</v>
      </c>
      <c r="BU120" s="75">
        <f>BT120/BT6*100</f>
        <v>3.3251332772609707</v>
      </c>
      <c r="BV120" s="3">
        <v>5644</v>
      </c>
      <c r="BW120" s="75">
        <f>BV120/BV6*100</f>
        <v>3.5473875414039964</v>
      </c>
      <c r="BX120" s="3">
        <v>553</v>
      </c>
      <c r="BY120" s="75">
        <f>BX120/BX6*100</f>
        <v>0.71522801934866398</v>
      </c>
      <c r="BZ120" s="3">
        <v>19</v>
      </c>
      <c r="CA120" s="75">
        <f>BZ120/BZ6*100</f>
        <v>0.24487691712849594</v>
      </c>
      <c r="CB120" s="3">
        <v>152</v>
      </c>
      <c r="CC120" s="75">
        <f>CB120/CB6*100</f>
        <v>0.29538652881961985</v>
      </c>
      <c r="CD120" s="3">
        <v>8401</v>
      </c>
      <c r="CE120" s="75">
        <f>CD120/CD6*100</f>
        <v>6.7369687249398558</v>
      </c>
      <c r="CF120" s="3">
        <v>22</v>
      </c>
      <c r="CG120" s="75">
        <f>CF120/CF6*100</f>
        <v>0.21615248575358614</v>
      </c>
      <c r="CH120" s="3">
        <v>5840</v>
      </c>
      <c r="CI120" s="75">
        <f>CH120/CH6*100</f>
        <v>6.8537361076881549</v>
      </c>
      <c r="CJ120" s="3">
        <v>3451</v>
      </c>
      <c r="CK120" s="75">
        <f>CJ120/CJ6*100</f>
        <v>2.9997479203428283</v>
      </c>
      <c r="CL120" s="3">
        <v>6908</v>
      </c>
      <c r="CM120" s="75">
        <f>CL120/CL6*100</f>
        <v>4.617184105871738</v>
      </c>
      <c r="CN120" s="3">
        <v>6157</v>
      </c>
      <c r="CO120" s="75">
        <f>CN120/CN6*100</f>
        <v>3.4404336164506035</v>
      </c>
      <c r="CP120" s="3">
        <v>1665</v>
      </c>
      <c r="CQ120" s="75">
        <f>CP120/CP6*100</f>
        <v>2.9224882398371128</v>
      </c>
      <c r="CR120" s="3">
        <v>391</v>
      </c>
      <c r="CS120" s="75">
        <f>CR120/CR6*100</f>
        <v>0.79053780832996356</v>
      </c>
      <c r="CT120" s="3">
        <v>262</v>
      </c>
      <c r="CU120" s="75">
        <f>CT120/CT6*100</f>
        <v>0.85839722167616805</v>
      </c>
      <c r="CV120" s="3">
        <v>13320</v>
      </c>
      <c r="CW120" s="75">
        <f>CV120/CV6*100</f>
        <v>6.9959085489792381</v>
      </c>
      <c r="CX120" s="3">
        <v>4159</v>
      </c>
      <c r="CY120" s="75">
        <f>CX120/CX6*100</f>
        <v>3.4131849553963449</v>
      </c>
      <c r="CZ120" s="3">
        <v>167</v>
      </c>
      <c r="DA120" s="75">
        <f>CZ120/CZ6*100</f>
        <v>0.44377125850340132</v>
      </c>
      <c r="DB120" s="3">
        <v>7124</v>
      </c>
      <c r="DC120" s="75">
        <f>DB120/DB6*100</f>
        <v>4.1574023821612194</v>
      </c>
      <c r="DD120" s="3">
        <v>592</v>
      </c>
      <c r="DE120" s="75">
        <f>DD120/DD6*100</f>
        <v>0.35040367450339749</v>
      </c>
      <c r="DF120" s="3">
        <v>24</v>
      </c>
      <c r="DG120" s="75">
        <f>DF120/DF6*100</f>
        <v>0.11850096282032291</v>
      </c>
      <c r="DH120" s="3">
        <v>18</v>
      </c>
      <c r="DI120" s="75">
        <f>DH120/DH6*100</f>
        <v>0.1036030850696443</v>
      </c>
      <c r="DJ120" s="3">
        <v>23</v>
      </c>
      <c r="DK120" s="75">
        <f>DJ120/DJ6*100</f>
        <v>0.15134566032769625</v>
      </c>
      <c r="DL120" s="3">
        <v>343</v>
      </c>
      <c r="DM120" s="75">
        <f>DL120/DL6*100</f>
        <v>0.54535336672231505</v>
      </c>
      <c r="DN120" s="3">
        <v>93</v>
      </c>
      <c r="DO120" s="75">
        <f>DN120/DN6*100</f>
        <v>0.77837294944760627</v>
      </c>
      <c r="DP120" s="3">
        <v>1742</v>
      </c>
      <c r="DQ120" s="75">
        <f>DP120/DP6*100</f>
        <v>1.7088148162680741</v>
      </c>
      <c r="DR120" s="3">
        <v>5</v>
      </c>
      <c r="DS120" s="75">
        <f>DR120/DR6*100</f>
        <v>6.5180550123843037E-2</v>
      </c>
      <c r="DT120" s="3">
        <v>5</v>
      </c>
      <c r="DU120" s="75">
        <f>DT120/DT6*100</f>
        <v>0.15262515262515264</v>
      </c>
      <c r="DV120" s="3">
        <v>83</v>
      </c>
      <c r="DW120" s="75">
        <f>DV120/DV6*100</f>
        <v>0.27144585799784149</v>
      </c>
      <c r="DX120" s="3">
        <v>30</v>
      </c>
      <c r="DY120" s="75">
        <f>DX120/DX6*100</f>
        <v>0.18085362912949118</v>
      </c>
      <c r="DZ120" s="3">
        <v>2389</v>
      </c>
      <c r="EA120" s="75">
        <f>DZ120/DZ6*100</f>
        <v>2.2816920241062815</v>
      </c>
      <c r="EB120" s="3">
        <v>44</v>
      </c>
      <c r="EC120" s="75">
        <f>EB120/EB6*100</f>
        <v>0.38411174159755562</v>
      </c>
      <c r="ED120" s="3">
        <v>64</v>
      </c>
      <c r="EE120" s="75">
        <f>ED120/ED6*100</f>
        <v>0.16978829521939831</v>
      </c>
      <c r="EF120" s="3">
        <v>1071</v>
      </c>
      <c r="EG120" s="75">
        <f>EF120/EF6*100</f>
        <v>5.0039714058776807</v>
      </c>
      <c r="EH120" s="3">
        <v>9</v>
      </c>
      <c r="EI120" s="75">
        <f>EH120/EH6*100</f>
        <v>0.14462477904547646</v>
      </c>
      <c r="EJ120" s="3">
        <v>152</v>
      </c>
      <c r="EK120" s="75">
        <f>EJ120/EJ6*100</f>
        <v>0.50993022007514766</v>
      </c>
      <c r="EL120" s="3">
        <v>257</v>
      </c>
      <c r="EM120" s="75">
        <f>EL120/EL6*100</f>
        <v>0.72586567248488953</v>
      </c>
      <c r="EN120" s="3">
        <v>152</v>
      </c>
      <c r="EO120" s="75">
        <f>EN120/EN6*100</f>
        <v>0.33304848923070179</v>
      </c>
      <c r="EP120" s="3">
        <v>3</v>
      </c>
      <c r="EQ120" s="75">
        <f>EP120/EP6*100</f>
        <v>7.4887668497254117E-2</v>
      </c>
      <c r="ER120" s="3">
        <v>12113</v>
      </c>
      <c r="ES120" s="75">
        <f>ER120/ER6*100</f>
        <v>7.1528114038713637</v>
      </c>
      <c r="ET120" s="3">
        <v>12440</v>
      </c>
      <c r="EU120" s="75">
        <f>ET120/ET6*100</f>
        <v>5.4229367556539776</v>
      </c>
      <c r="EV120" s="3">
        <v>391</v>
      </c>
      <c r="EW120" s="75">
        <f>EV120/EV6*100</f>
        <v>0.90398353871407755</v>
      </c>
      <c r="EX120" s="3">
        <v>11934</v>
      </c>
      <c r="EY120" s="75">
        <f>EX120/EX6*100</f>
        <v>4.0868323453568527</v>
      </c>
      <c r="EZ120" s="3">
        <v>1331</v>
      </c>
      <c r="FA120" s="75">
        <f>EZ120/EZ6*100</f>
        <v>0.85283338032139844</v>
      </c>
      <c r="FB120" s="3">
        <v>3154</v>
      </c>
      <c r="FC120" s="75">
        <f>FB120/FB6*100</f>
        <v>3.5000110970548413</v>
      </c>
      <c r="FD120" s="3">
        <v>13</v>
      </c>
      <c r="FE120" s="75">
        <f>FD120/FD6*100</f>
        <v>0.19829164124466137</v>
      </c>
      <c r="FF120" s="3">
        <v>220112</v>
      </c>
      <c r="FG120" s="75">
        <f>FF120/FF6*100</f>
        <v>4.4758680290783381</v>
      </c>
      <c r="FH120" s="3">
        <v>233912</v>
      </c>
      <c r="FI120" s="75">
        <f>FH120/FH6*100</f>
        <v>3.5967144415207155</v>
      </c>
      <c r="FJ120" s="75"/>
    </row>
    <row r="121" spans="2:166" x14ac:dyDescent="0.45">
      <c r="B121" s="18">
        <v>116</v>
      </c>
    </row>
    <row r="122" spans="2:166" x14ac:dyDescent="0.45">
      <c r="B122" s="18">
        <v>117</v>
      </c>
      <c r="C122" s="2" t="s">
        <v>110</v>
      </c>
    </row>
    <row r="123" spans="2:166" x14ac:dyDescent="0.4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4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4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4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4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4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4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45">
      <c r="B130" s="18">
        <v>125</v>
      </c>
    </row>
    <row r="131" spans="2:165" x14ac:dyDescent="0.45">
      <c r="B131" s="18">
        <v>126</v>
      </c>
      <c r="C131" s="12" t="s">
        <v>236</v>
      </c>
    </row>
    <row r="132" spans="2:165" x14ac:dyDescent="0.4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4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4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45">
      <c r="B135" s="18">
        <v>130</v>
      </c>
    </row>
    <row r="136" spans="2:165" x14ac:dyDescent="0.45">
      <c r="B136" s="18">
        <v>131</v>
      </c>
      <c r="C136" s="12" t="s">
        <v>121</v>
      </c>
    </row>
    <row r="137" spans="2:165" x14ac:dyDescent="0.4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4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4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45">
      <c r="B140" s="18">
        <v>135</v>
      </c>
    </row>
    <row r="141" spans="2:165" x14ac:dyDescent="0.45">
      <c r="B141" s="18">
        <v>136</v>
      </c>
      <c r="C141" s="2" t="s">
        <v>124</v>
      </c>
    </row>
    <row r="142" spans="2:165" x14ac:dyDescent="0.45">
      <c r="B142" s="18">
        <v>137</v>
      </c>
      <c r="C142" s="13" t="s">
        <v>125</v>
      </c>
      <c r="D142" s="3">
        <v>1420</v>
      </c>
      <c r="E142" s="75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4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4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4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4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4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4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4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4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4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4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4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4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4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45">
      <c r="B156" s="18">
        <v>151</v>
      </c>
    </row>
    <row r="157" spans="2:165" x14ac:dyDescent="0.45">
      <c r="B157" s="18">
        <v>152</v>
      </c>
      <c r="C157" s="1" t="s">
        <v>238</v>
      </c>
    </row>
    <row r="158" spans="2:165" x14ac:dyDescent="0.4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4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4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45">
      <c r="B161" s="18">
        <v>156</v>
      </c>
    </row>
    <row r="162" spans="2:165" x14ac:dyDescent="0.45">
      <c r="B162" s="18">
        <v>157</v>
      </c>
      <c r="C162" s="12" t="s">
        <v>137</v>
      </c>
    </row>
    <row r="163" spans="2:165" x14ac:dyDescent="0.4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4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4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45">
      <c r="B166" s="18">
        <v>161</v>
      </c>
    </row>
    <row r="167" spans="2:165" x14ac:dyDescent="0.45">
      <c r="B167" s="18">
        <v>162</v>
      </c>
      <c r="C167" s="12" t="s">
        <v>138</v>
      </c>
    </row>
    <row r="168" spans="2:165" x14ac:dyDescent="0.4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4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4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45">
      <c r="B171" s="18">
        <v>166</v>
      </c>
    </row>
    <row r="172" spans="2:165" x14ac:dyDescent="0.45">
      <c r="B172" s="18">
        <v>167</v>
      </c>
      <c r="C172" s="15" t="s">
        <v>139</v>
      </c>
    </row>
    <row r="173" spans="2:165" s="102" customFormat="1" x14ac:dyDescent="0.45">
      <c r="B173" s="18">
        <v>168</v>
      </c>
      <c r="C173" s="100" t="s">
        <v>140</v>
      </c>
      <c r="D173" s="101">
        <v>1894</v>
      </c>
      <c r="E173" s="101">
        <f>D173/SUM(D$173:D$176)*100</f>
        <v>52.37831858407079</v>
      </c>
      <c r="F173" s="101">
        <v>1434</v>
      </c>
      <c r="G173" s="101">
        <f>F173/SUM(F$173:F$176)*100</f>
        <v>48.282828282828284</v>
      </c>
      <c r="H173" s="101">
        <v>11872</v>
      </c>
      <c r="I173" s="101">
        <f>H173/SUM(H$173:H$176)*100</f>
        <v>39.852299429338707</v>
      </c>
      <c r="J173" s="101">
        <v>12696</v>
      </c>
      <c r="K173" s="101">
        <f>J173/SUM(J$173:J$176)*100</f>
        <v>36.507936507936506</v>
      </c>
      <c r="L173" s="101">
        <v>5781</v>
      </c>
      <c r="M173" s="101">
        <f>L173/SUM(L$173:L$176)*100</f>
        <v>52.203359219794109</v>
      </c>
      <c r="N173" s="101">
        <v>6896</v>
      </c>
      <c r="O173" s="101">
        <f>N173/SUM(N$173:N$176)*100</f>
        <v>43.540851117565346</v>
      </c>
      <c r="P173" s="101">
        <v>10418</v>
      </c>
      <c r="Q173" s="101">
        <f>P173/SUM(P$173:P$176)*100</f>
        <v>37.255042197110569</v>
      </c>
      <c r="R173" s="101">
        <v>2084</v>
      </c>
      <c r="S173" s="101">
        <f>R173/SUM(R$173:R$176)*100</f>
        <v>52.826362484157166</v>
      </c>
      <c r="T173" s="101">
        <v>16248</v>
      </c>
      <c r="U173" s="101">
        <f>T173/SUM(T$173:T$176)*100</f>
        <v>36.417428725121034</v>
      </c>
      <c r="V173" s="101">
        <v>15455</v>
      </c>
      <c r="W173" s="101">
        <f>V173/SUM(V$173:V$176)*100</f>
        <v>30.286699719767192</v>
      </c>
      <c r="X173" s="101">
        <v>826</v>
      </c>
      <c r="Y173" s="101">
        <f>X173/SUM(X$173:X$176)*100</f>
        <v>51.272501551831162</v>
      </c>
      <c r="Z173" s="101">
        <v>4892</v>
      </c>
      <c r="AA173" s="101">
        <f>Z173/SUM(Z$173:Z$176)*100</f>
        <v>46.737365052068405</v>
      </c>
      <c r="AB173" s="101">
        <v>10614</v>
      </c>
      <c r="AC173" s="101">
        <f>AB173/SUM(AB$173:AB$176)*100</f>
        <v>33.100480259464852</v>
      </c>
      <c r="AD173" s="101">
        <v>27033</v>
      </c>
      <c r="AE173" s="101">
        <f>AD173/SUM(AD$173:AD$176)*100</f>
        <v>27.771442660338398</v>
      </c>
      <c r="AF173" s="101">
        <v>1734</v>
      </c>
      <c r="AG173" s="101">
        <f>AF173/SUM(AF$173:AF$176)*100</f>
        <v>49.080101896405317</v>
      </c>
      <c r="AH173" s="101">
        <v>2692</v>
      </c>
      <c r="AI173" s="101">
        <f>AH173/SUM(AH$173:AH$176)*100</f>
        <v>46.622791825424315</v>
      </c>
      <c r="AJ173" s="101">
        <v>2066</v>
      </c>
      <c r="AK173" s="101">
        <f>AJ173/SUM(AJ$173:AJ$176)*100</f>
        <v>47.979563399907107</v>
      </c>
      <c r="AL173" s="101">
        <v>14774</v>
      </c>
      <c r="AM173" s="101">
        <f>AL173/SUM(AL$173:AL$176)*100</f>
        <v>39.161321104808358</v>
      </c>
      <c r="AN173" s="101">
        <v>7096</v>
      </c>
      <c r="AO173" s="101">
        <f>AN173/SUM(AN$173:AN$176)*100</f>
        <v>53.441783401114627</v>
      </c>
      <c r="AP173" s="101">
        <v>13185</v>
      </c>
      <c r="AQ173" s="101">
        <f>AP173/SUM(AP$173:AP$176)*100</f>
        <v>35.082351062980607</v>
      </c>
      <c r="AR173" s="101">
        <v>1477</v>
      </c>
      <c r="AS173" s="101">
        <f>AR173/SUM(AR$173:AR$176)*100</f>
        <v>51.952163207878996</v>
      </c>
      <c r="AT173" s="101">
        <v>14727</v>
      </c>
      <c r="AU173" s="101">
        <f>AT173/SUM(AT$173:AT$176)*100</f>
        <v>37.207245900810996</v>
      </c>
      <c r="AV173" s="101">
        <v>2739</v>
      </c>
      <c r="AW173" s="101">
        <f>AV173/SUM(AV$173:AV$176)*100</f>
        <v>49.963516964611458</v>
      </c>
      <c r="AX173" s="101">
        <v>2638</v>
      </c>
      <c r="AY173" s="101">
        <f>AX173/SUM(AX$173:AX$176)*100</f>
        <v>37.820788530465947</v>
      </c>
      <c r="AZ173" s="101">
        <v>13134</v>
      </c>
      <c r="BA173" s="101">
        <f>AZ173/SUM(AZ$173:AZ$176)*100</f>
        <v>40.691514081234317</v>
      </c>
      <c r="BB173" s="101">
        <v>12130</v>
      </c>
      <c r="BC173" s="101">
        <f>BB173/SUM(BB$173:BB$176)*100</f>
        <v>30.397955092221331</v>
      </c>
      <c r="BD173" s="101">
        <v>29544</v>
      </c>
      <c r="BE173" s="101">
        <f>BD173/SUM(BD$173:BD$176)*100</f>
        <v>40.976421636615811</v>
      </c>
      <c r="BF173" s="101">
        <v>6963</v>
      </c>
      <c r="BG173" s="101">
        <f>BF173/SUM(BF$173:BF$176)*100</f>
        <v>39.725011410314927</v>
      </c>
      <c r="BH173" s="101">
        <v>2412</v>
      </c>
      <c r="BI173" s="101">
        <f>BH173/SUM(BH$173:BH$176)*100</f>
        <v>53.540510543840178</v>
      </c>
      <c r="BJ173" s="101">
        <v>777</v>
      </c>
      <c r="BK173" s="101">
        <f>BJ173/SUM(BJ$173:BJ$176)*100</f>
        <v>51.422898742554601</v>
      </c>
      <c r="BL173" s="101">
        <v>8937</v>
      </c>
      <c r="BM173" s="101">
        <f>BL173/SUM(BL$173:BL$176)*100</f>
        <v>35.775189143749245</v>
      </c>
      <c r="BN173" s="101">
        <v>2387</v>
      </c>
      <c r="BO173" s="101">
        <f>BN173/SUM(BN$173:BN$176)*100</f>
        <v>43.733968486625137</v>
      </c>
      <c r="BP173" s="101">
        <v>16782</v>
      </c>
      <c r="BQ173" s="101">
        <f>BP173/SUM(BP$173:BP$176)*100</f>
        <v>26.370621788525906</v>
      </c>
      <c r="BR173" s="101">
        <v>2355</v>
      </c>
      <c r="BS173" s="101">
        <f>BR173/SUM(BR$173:BR$176)*100</f>
        <v>48.466762708376208</v>
      </c>
      <c r="BT173" s="101">
        <v>15677</v>
      </c>
      <c r="BU173" s="101">
        <f>BT173/SUM(BT$173:BT$176)*100</f>
        <v>35.899608417870802</v>
      </c>
      <c r="BV173" s="101">
        <v>15731</v>
      </c>
      <c r="BW173" s="101">
        <f>BV173/SUM(BV$173:BV$176)*100</f>
        <v>34.847813566080369</v>
      </c>
      <c r="BX173" s="101">
        <v>8457</v>
      </c>
      <c r="BY173" s="101">
        <f>BX173/SUM(BX$173:BX$176)*100</f>
        <v>41.732050333086605</v>
      </c>
      <c r="BZ173" s="101">
        <v>1023</v>
      </c>
      <c r="CA173" s="101">
        <f>BZ173/SUM(BZ$173:BZ$176)*100</f>
        <v>51.928934010152282</v>
      </c>
      <c r="CB173" s="101">
        <v>5804</v>
      </c>
      <c r="CC173" s="101">
        <f>CB173/SUM(CB$173:CB$176)*100</f>
        <v>40.244071557342949</v>
      </c>
      <c r="CD173" s="101">
        <v>13088</v>
      </c>
      <c r="CE173" s="101">
        <f>CD173/SUM(CD$173:CD$176)*100</f>
        <v>36.597505732341588</v>
      </c>
      <c r="CF173" s="101">
        <v>1437</v>
      </c>
      <c r="CG173" s="101">
        <f>CF173/SUM(CF$173:CF$176)*100</f>
        <v>54.002254791431795</v>
      </c>
      <c r="CH173" s="101">
        <v>8587</v>
      </c>
      <c r="CI173" s="101">
        <f>CH173/SUM(CH$173:CH$176)*100</f>
        <v>39.725203552923759</v>
      </c>
      <c r="CJ173" s="101">
        <v>11356</v>
      </c>
      <c r="CK173" s="101">
        <f>CJ173/SUM(CJ$173:CJ$176)*100</f>
        <v>35.665829145728644</v>
      </c>
      <c r="CL173" s="101">
        <v>19259</v>
      </c>
      <c r="CM173" s="101">
        <f>CL173/SUM(CL$173:CL$176)*100</f>
        <v>62.767656356940329</v>
      </c>
      <c r="CN173" s="101">
        <v>11921</v>
      </c>
      <c r="CO173" s="101">
        <f>CN173/SUM(CN$173:CN$176)*100</f>
        <v>25.596925191101949</v>
      </c>
      <c r="CP173" s="101">
        <v>6124</v>
      </c>
      <c r="CQ173" s="101">
        <f>CP173/SUM(CP$173:CP$176)*100</f>
        <v>41.566551279440709</v>
      </c>
      <c r="CR173" s="101">
        <v>4814</v>
      </c>
      <c r="CS173" s="101">
        <f>CR173/SUM(CR$173:CR$176)*100</f>
        <v>35.91733194061031</v>
      </c>
      <c r="CT173" s="101">
        <v>4049</v>
      </c>
      <c r="CU173" s="101">
        <f>CT173/SUM(CT$173:CT$176)*100</f>
        <v>49.601862060516964</v>
      </c>
      <c r="CV173" s="101">
        <v>17893</v>
      </c>
      <c r="CW173" s="101">
        <f>CV173/SUM(CV$173:CV$176)*100</f>
        <v>35.413450500732296</v>
      </c>
      <c r="CX173" s="101">
        <v>12016</v>
      </c>
      <c r="CY173" s="101">
        <f>CX173/SUM(CX$173:CX$176)*100</f>
        <v>37.097869712874342</v>
      </c>
      <c r="CZ173" s="101">
        <v>3999</v>
      </c>
      <c r="DA173" s="101">
        <f>CZ173/SUM(CZ$173:CZ$176)*100</f>
        <v>38.392857142857146</v>
      </c>
      <c r="DB173" s="101">
        <v>17327</v>
      </c>
      <c r="DC173" s="101">
        <f>DB173/SUM(DB$173:DB$176)*100</f>
        <v>40.240135627859445</v>
      </c>
      <c r="DD173" s="101">
        <v>21049</v>
      </c>
      <c r="DE173" s="101">
        <f>DD173/SUM(DD$173:DD$176)*100</f>
        <v>45.146276595744681</v>
      </c>
      <c r="DF173" s="101">
        <v>2725</v>
      </c>
      <c r="DG173" s="101">
        <f>DF173/SUM(DF$173:DF$176)*100</f>
        <v>50</v>
      </c>
      <c r="DH173" s="101">
        <v>2189</v>
      </c>
      <c r="DI173" s="101">
        <f>DH173/SUM(DH$173:DH$176)*100</f>
        <v>45.833333333333329</v>
      </c>
      <c r="DJ173" s="101">
        <v>2131</v>
      </c>
      <c r="DK173" s="101">
        <f>DJ173/SUM(DJ$173:DJ$176)*100</f>
        <v>51.823929961089497</v>
      </c>
      <c r="DL173" s="101">
        <v>6103</v>
      </c>
      <c r="DM173" s="101">
        <f>DL173/SUM(DL$173:DL$176)*100</f>
        <v>33.84726304697466</v>
      </c>
      <c r="DN173" s="101">
        <v>1550</v>
      </c>
      <c r="DO173" s="101">
        <f>DN173/SUM(DN$173:DN$176)*100</f>
        <v>50.194300518134717</v>
      </c>
      <c r="DP173" s="101">
        <v>12949</v>
      </c>
      <c r="DQ173" s="101">
        <f>DP173/SUM(DP$173:DP$176)*100</f>
        <v>53.395736258298633</v>
      </c>
      <c r="DR173" s="101">
        <v>1050</v>
      </c>
      <c r="DS173" s="101">
        <f>DR173/SUM(DR$173:DR$176)*100</f>
        <v>52.238805970149251</v>
      </c>
      <c r="DT173" s="101">
        <v>608</v>
      </c>
      <c r="DU173" s="101">
        <f>DT173/SUM(DT$173:DT$176)*100</f>
        <v>64</v>
      </c>
      <c r="DV173" s="101">
        <v>4125</v>
      </c>
      <c r="DW173" s="101">
        <f>DV173/SUM(DV$173:DV$176)*100</f>
        <v>49.549549549549546</v>
      </c>
      <c r="DX173" s="101">
        <v>2103</v>
      </c>
      <c r="DY173" s="101">
        <f>DX173/SUM(DX$173:DX$176)*100</f>
        <v>47.643860444041685</v>
      </c>
      <c r="DZ173" s="101">
        <v>12710</v>
      </c>
      <c r="EA173" s="101">
        <f>DZ173/SUM(DZ$173:DZ$176)*100</f>
        <v>49.845091964390761</v>
      </c>
      <c r="EB173" s="101">
        <v>1655</v>
      </c>
      <c r="EC173" s="101">
        <f>EB173/SUM(EB$173:EB$176)*100</f>
        <v>53.147077713551703</v>
      </c>
      <c r="ED173" s="101">
        <v>4337</v>
      </c>
      <c r="EE173" s="101">
        <f>ED173/SUM(ED$173:ED$176)*100</f>
        <v>42.565511826479536</v>
      </c>
      <c r="EF173" s="101">
        <v>2346</v>
      </c>
      <c r="EG173" s="101">
        <f>EF173/SUM(EF$173:EF$176)*100</f>
        <v>44.006752954417557</v>
      </c>
      <c r="EH173" s="101">
        <v>938</v>
      </c>
      <c r="EI173" s="101">
        <f>EH173/SUM(EH$173:EH$176)*100</f>
        <v>55.800118976799531</v>
      </c>
      <c r="EJ173" s="101">
        <v>3660</v>
      </c>
      <c r="EK173" s="101">
        <f>EJ173/SUM(EJ$173:EJ$176)*100</f>
        <v>45.431976166832179</v>
      </c>
      <c r="EL173" s="101">
        <v>3959</v>
      </c>
      <c r="EM173" s="101">
        <f>EL173/SUM(EL$173:EL$176)*100</f>
        <v>42.009762308998297</v>
      </c>
      <c r="EN173" s="101">
        <v>5690</v>
      </c>
      <c r="EO173" s="101">
        <f>EN173/SUM(EN$173:EN$176)*100</f>
        <v>47.499791301444191</v>
      </c>
      <c r="EP173" s="101">
        <v>555</v>
      </c>
      <c r="EQ173" s="101">
        <f>EP173/SUM(EP$173:EP$176)*100</f>
        <v>53.416746871992302</v>
      </c>
      <c r="ER173" s="101">
        <v>16427</v>
      </c>
      <c r="ES173" s="101">
        <f>ER173/SUM(ER$173:ER$176)*100</f>
        <v>36.227505292872266</v>
      </c>
      <c r="ET173" s="101">
        <v>18149</v>
      </c>
      <c r="EU173" s="101">
        <f>ET173/SUM(ET$173:ET$176)*100</f>
        <v>29.111528158734739</v>
      </c>
      <c r="EV173" s="101">
        <v>4545</v>
      </c>
      <c r="EW173" s="101">
        <f>EV173/SUM(EV$173:EV$176)*100</f>
        <v>39.333621808740801</v>
      </c>
      <c r="EX173" s="101">
        <v>19726</v>
      </c>
      <c r="EY173" s="101">
        <f>EX173/SUM(EX$173:EX$176)*100</f>
        <v>25.907198487017506</v>
      </c>
      <c r="EZ173" s="101">
        <v>16483</v>
      </c>
      <c r="FA173" s="101">
        <f>EZ173/SUM(EZ$173:EZ$176)*100</f>
        <v>37.480955954248813</v>
      </c>
      <c r="FB173" s="101">
        <v>11558</v>
      </c>
      <c r="FC173" s="101">
        <f>FB173/SUM(FB$173:FB$176)*100</f>
        <v>54.956968284912747</v>
      </c>
      <c r="FD173" s="101">
        <v>906</v>
      </c>
      <c r="FE173" s="101">
        <f>FD173/SUM(FD$173:FD$176)*100</f>
        <v>52.951490356516665</v>
      </c>
      <c r="FF173" s="101">
        <v>459470</v>
      </c>
      <c r="FG173" s="101">
        <f>FF173/SUM(FF$173:FF$176)*100</f>
        <v>35.373314846137205</v>
      </c>
      <c r="FH173" s="101">
        <v>645543</v>
      </c>
      <c r="FI173" s="101">
        <f>FH173/SUM(FH$173:FH$176)*100</f>
        <v>37.558231744744383</v>
      </c>
    </row>
    <row r="174" spans="2:165" s="102" customFormat="1" x14ac:dyDescent="0.45">
      <c r="B174" s="18">
        <v>169</v>
      </c>
      <c r="C174" s="100" t="s">
        <v>141</v>
      </c>
      <c r="D174" s="101">
        <v>1261</v>
      </c>
      <c r="E174" s="101">
        <f>D174/SUM(D$173:D$176)*100</f>
        <v>34.872787610619469</v>
      </c>
      <c r="F174" s="101">
        <v>1001</v>
      </c>
      <c r="G174" s="101">
        <f>F174/SUM(F$173:F$176)*100</f>
        <v>33.703703703703702</v>
      </c>
      <c r="H174" s="101">
        <v>11742</v>
      </c>
      <c r="I174" s="101">
        <f>H174/SUM(H$173:H$176)*100</f>
        <v>39.415911379657601</v>
      </c>
      <c r="J174" s="101">
        <v>16457</v>
      </c>
      <c r="K174" s="101">
        <f>J174/SUM(J$173:J$176)*100</f>
        <v>47.322866344605472</v>
      </c>
      <c r="L174" s="101">
        <v>3565</v>
      </c>
      <c r="M174" s="101">
        <f>L174/SUM(L$173:L$176)*100</f>
        <v>32.192523026909882</v>
      </c>
      <c r="N174" s="101">
        <v>6408</v>
      </c>
      <c r="O174" s="101">
        <f>N174/SUM(N$173:N$176)*100</f>
        <v>40.459653996716753</v>
      </c>
      <c r="P174" s="101">
        <v>13810</v>
      </c>
      <c r="Q174" s="101">
        <f>P174/SUM(P$173:P$176)*100</f>
        <v>49.384923473036764</v>
      </c>
      <c r="R174" s="101">
        <v>1197</v>
      </c>
      <c r="S174" s="101">
        <f>R174/SUM(R$173:R$176)*100</f>
        <v>30.342205323193916</v>
      </c>
      <c r="T174" s="101">
        <v>22080</v>
      </c>
      <c r="U174" s="101">
        <f>T174/SUM(T$173:T$176)*100</f>
        <v>49.488972565895644</v>
      </c>
      <c r="V174" s="101">
        <v>23938</v>
      </c>
      <c r="W174" s="101">
        <f>V174/SUM(V$173:V$176)*100</f>
        <v>46.910580258284504</v>
      </c>
      <c r="X174" s="101">
        <v>554</v>
      </c>
      <c r="Y174" s="101">
        <f>X174/SUM(X$173:X$176)*100</f>
        <v>34.388578522656736</v>
      </c>
      <c r="Z174" s="101">
        <v>3775</v>
      </c>
      <c r="AA174" s="101">
        <f>Z174/SUM(Z$173:Z$176)*100</f>
        <v>36.065730390751888</v>
      </c>
      <c r="AB174" s="101">
        <v>16071</v>
      </c>
      <c r="AC174" s="101">
        <f>AB174/SUM(AB$173:AB$176)*100</f>
        <v>50.118505582236637</v>
      </c>
      <c r="AD174" s="101">
        <v>54550</v>
      </c>
      <c r="AE174" s="101">
        <f>AD174/SUM(AD$173:AD$176)*100</f>
        <v>56.04010642997298</v>
      </c>
      <c r="AF174" s="101">
        <v>1050</v>
      </c>
      <c r="AG174" s="101">
        <f>AF174/SUM(AF$173:AF$176)*100</f>
        <v>29.719784885366547</v>
      </c>
      <c r="AH174" s="101">
        <v>2151</v>
      </c>
      <c r="AI174" s="101">
        <f>AH174/SUM(AH$173:AH$176)*100</f>
        <v>37.253204018011779</v>
      </c>
      <c r="AJ174" s="101">
        <v>1574</v>
      </c>
      <c r="AK174" s="101">
        <f>AJ174/SUM(AJ$173:AJ$176)*100</f>
        <v>36.553646075243847</v>
      </c>
      <c r="AL174" s="101">
        <v>16246</v>
      </c>
      <c r="AM174" s="101">
        <f>AL174/SUM(AL$173:AL$176)*100</f>
        <v>43.063139479404121</v>
      </c>
      <c r="AN174" s="101">
        <v>4111</v>
      </c>
      <c r="AO174" s="101">
        <f>AN174/SUM(AN$173:AN$176)*100</f>
        <v>30.960988100617566</v>
      </c>
      <c r="AP174" s="101">
        <v>16241</v>
      </c>
      <c r="AQ174" s="101">
        <f>AP174/SUM(AP$173:AP$176)*100</f>
        <v>43.213687039352898</v>
      </c>
      <c r="AR174" s="101">
        <v>947</v>
      </c>
      <c r="AS174" s="101">
        <f>AR174/SUM(AR$173:AR$176)*100</f>
        <v>33.309883925430881</v>
      </c>
      <c r="AT174" s="101">
        <v>19064</v>
      </c>
      <c r="AU174" s="101">
        <f>AT174/SUM(AT$173:AT$176)*100</f>
        <v>48.164523382430964</v>
      </c>
      <c r="AV174" s="101">
        <v>1852</v>
      </c>
      <c r="AW174" s="101">
        <f>AV174/SUM(AV$173:AV$176)*100</f>
        <v>33.783290769792046</v>
      </c>
      <c r="AX174" s="101">
        <v>3541</v>
      </c>
      <c r="AY174" s="101">
        <f>AX174/SUM(AX$173:AX$176)*100</f>
        <v>50.767025089605731</v>
      </c>
      <c r="AZ174" s="101">
        <v>12826</v>
      </c>
      <c r="BA174" s="101">
        <f>AZ174/SUM(AZ$173:AZ$176)*100</f>
        <v>39.737274220032845</v>
      </c>
      <c r="BB174" s="101">
        <v>19135</v>
      </c>
      <c r="BC174" s="101">
        <f>BB174/SUM(BB$173:BB$176)*100</f>
        <v>47.952586206896555</v>
      </c>
      <c r="BD174" s="101">
        <v>29719</v>
      </c>
      <c r="BE174" s="101">
        <f>BD174/SUM(BD$173:BD$176)*100</f>
        <v>41.219140083217752</v>
      </c>
      <c r="BF174" s="101">
        <v>7258</v>
      </c>
      <c r="BG174" s="101">
        <f>BF174/SUM(BF$173:BF$176)*100</f>
        <v>41.408032861706985</v>
      </c>
      <c r="BH174" s="101">
        <v>1434</v>
      </c>
      <c r="BI174" s="101">
        <f>BH174/SUM(BH$173:BH$176)*100</f>
        <v>31.831298557158711</v>
      </c>
      <c r="BJ174" s="101">
        <v>525</v>
      </c>
      <c r="BK174" s="101">
        <f>BJ174/SUM(BJ$173:BJ$176)*100</f>
        <v>34.745201853077432</v>
      </c>
      <c r="BL174" s="101">
        <v>11623</v>
      </c>
      <c r="BM174" s="101">
        <f>BL174/SUM(BL$173:BL$176)*100</f>
        <v>46.527360794203595</v>
      </c>
      <c r="BN174" s="101">
        <v>2139</v>
      </c>
      <c r="BO174" s="101">
        <f>BN174/SUM(BN$173:BN$176)*100</f>
        <v>39.1901795529498</v>
      </c>
      <c r="BP174" s="101">
        <v>35130</v>
      </c>
      <c r="BQ174" s="101">
        <f>BP174/SUM(BP$173:BP$176)*100</f>
        <v>55.201998774336488</v>
      </c>
      <c r="BR174" s="101">
        <v>1886</v>
      </c>
      <c r="BS174" s="101">
        <f>BR174/SUM(BR$173:BR$176)*100</f>
        <v>38.81457089936201</v>
      </c>
      <c r="BT174" s="101">
        <v>20643</v>
      </c>
      <c r="BU174" s="101">
        <f>BT174/SUM(BT$173:BT$176)*100</f>
        <v>47.271519842451163</v>
      </c>
      <c r="BV174" s="101">
        <v>22010</v>
      </c>
      <c r="BW174" s="101">
        <f>BV174/SUM(BV$173:BV$176)*100</f>
        <v>48.757254884586416</v>
      </c>
      <c r="BX174" s="101">
        <v>7471</v>
      </c>
      <c r="BY174" s="101">
        <f>BX174/SUM(BX$173:BX$176)*100</f>
        <v>36.866518628176657</v>
      </c>
      <c r="BZ174" s="101">
        <v>671</v>
      </c>
      <c r="CA174" s="101">
        <f>BZ174/SUM(BZ$173:BZ$176)*100</f>
        <v>34.060913705583758</v>
      </c>
      <c r="CB174" s="101">
        <v>6774</v>
      </c>
      <c r="CC174" s="101">
        <f>CB174/SUM(CB$173:CB$176)*100</f>
        <v>46.969907086395786</v>
      </c>
      <c r="CD174" s="101">
        <v>17484</v>
      </c>
      <c r="CE174" s="101">
        <f>CD174/SUM(CD$173:CD$176)*100</f>
        <v>48.88988311615681</v>
      </c>
      <c r="CF174" s="101">
        <v>896</v>
      </c>
      <c r="CG174" s="101">
        <f>CF174/SUM(CF$173:CF$176)*100</f>
        <v>33.671552048102214</v>
      </c>
      <c r="CH174" s="101">
        <v>9039</v>
      </c>
      <c r="CI174" s="101">
        <f>CH174/SUM(CH$173:CH$176)*100</f>
        <v>41.816247224278314</v>
      </c>
      <c r="CJ174" s="101">
        <v>15161</v>
      </c>
      <c r="CK174" s="101">
        <f>CJ174/SUM(CJ$173:CJ$176)*100</f>
        <v>47.616206030150757</v>
      </c>
      <c r="CL174" s="101">
        <v>6608</v>
      </c>
      <c r="CM174" s="101">
        <f>CL174/SUM(CL$173:CL$176)*100</f>
        <v>21.536355636671772</v>
      </c>
      <c r="CN174" s="101">
        <v>26188</v>
      </c>
      <c r="CO174" s="101">
        <f>CN174/SUM(CN$173:CN$176)*100</f>
        <v>56.231211886970712</v>
      </c>
      <c r="CP174" s="101">
        <v>5667</v>
      </c>
      <c r="CQ174" s="101">
        <f>CP174/SUM(CP$173:CP$176)*100</f>
        <v>38.464671146406026</v>
      </c>
      <c r="CR174" s="101">
        <v>6184</v>
      </c>
      <c r="CS174" s="101">
        <f>CR174/SUM(CR$173:CR$176)*100</f>
        <v>46.138924121465344</v>
      </c>
      <c r="CT174" s="101">
        <v>2783</v>
      </c>
      <c r="CU174" s="101">
        <f>CT174/SUM(CT$173:CT$176)*100</f>
        <v>34.092858017885582</v>
      </c>
      <c r="CV174" s="101">
        <v>24572</v>
      </c>
      <c r="CW174" s="101">
        <f>CV174/SUM(CV$173:CV$176)*100</f>
        <v>48.632387285753872</v>
      </c>
      <c r="CX174" s="101">
        <v>15068</v>
      </c>
      <c r="CY174" s="101">
        <f>CX174/SUM(CX$173:CX$176)*100</f>
        <v>46.520531028095093</v>
      </c>
      <c r="CZ174" s="101">
        <v>4703</v>
      </c>
      <c r="DA174" s="101">
        <f>CZ174/SUM(CZ$173:CZ$176)*100</f>
        <v>45.151689708141326</v>
      </c>
      <c r="DB174" s="101">
        <v>18455</v>
      </c>
      <c r="DC174" s="101">
        <f>DB174/SUM(DB$173:DB$176)*100</f>
        <v>42.859797022689797</v>
      </c>
      <c r="DD174" s="101">
        <v>18170</v>
      </c>
      <c r="DE174" s="101">
        <f>DD174/SUM(DD$173:DD$176)*100</f>
        <v>38.971345229924502</v>
      </c>
      <c r="DF174" s="101">
        <v>1798</v>
      </c>
      <c r="DG174" s="101">
        <f>DF174/SUM(DF$173:DF$176)*100</f>
        <v>32.990825688073393</v>
      </c>
      <c r="DH174" s="101">
        <v>1950</v>
      </c>
      <c r="DI174" s="101">
        <f>DH174/SUM(DH$173:DH$176)*100</f>
        <v>40.829145728643219</v>
      </c>
      <c r="DJ174" s="101">
        <v>1414</v>
      </c>
      <c r="DK174" s="101">
        <f>DJ174/SUM(DJ$173:DJ$176)*100</f>
        <v>34.387159533073927</v>
      </c>
      <c r="DL174" s="101">
        <v>9717</v>
      </c>
      <c r="DM174" s="101">
        <f>DL174/SUM(DL$173:DL$176)*100</f>
        <v>53.890521878986185</v>
      </c>
      <c r="DN174" s="101">
        <v>1042</v>
      </c>
      <c r="DO174" s="101">
        <f>DN174/SUM(DN$173:DN$176)*100</f>
        <v>33.743523316062173</v>
      </c>
      <c r="DP174" s="101">
        <v>7752</v>
      </c>
      <c r="DQ174" s="101">
        <f>DP174/SUM(DP$173:DP$176)*100</f>
        <v>31.965692136406748</v>
      </c>
      <c r="DR174" s="101">
        <v>641</v>
      </c>
      <c r="DS174" s="101">
        <f>DR174/SUM(DR$173:DR$176)*100</f>
        <v>31.89054726368159</v>
      </c>
      <c r="DT174" s="101">
        <v>249</v>
      </c>
      <c r="DU174" s="101">
        <f>DT174/SUM(DT$173:DT$176)*100</f>
        <v>26.210526315789473</v>
      </c>
      <c r="DV174" s="101">
        <v>3026</v>
      </c>
      <c r="DW174" s="101">
        <f>DV174/SUM(DV$173:DV$176)*100</f>
        <v>36.348348348348345</v>
      </c>
      <c r="DX174" s="101">
        <v>1631</v>
      </c>
      <c r="DY174" s="101">
        <f>DX174/SUM(DX$173:DX$176)*100</f>
        <v>36.950611690077025</v>
      </c>
      <c r="DZ174" s="101">
        <v>9180</v>
      </c>
      <c r="EA174" s="101">
        <f>DZ174/SUM(DZ$173:DZ$176)*100</f>
        <v>36.001411820071375</v>
      </c>
      <c r="EB174" s="101">
        <v>958</v>
      </c>
      <c r="EC174" s="101">
        <f>EB174/SUM(EB$173:EB$176)*100</f>
        <v>30.764290301862555</v>
      </c>
      <c r="ED174" s="101">
        <v>4700</v>
      </c>
      <c r="EE174" s="101">
        <f>ED174/SUM(ED$173:ED$176)*100</f>
        <v>46.128177446265575</v>
      </c>
      <c r="EF174" s="101">
        <v>2086</v>
      </c>
      <c r="EG174" s="101">
        <f>EF174/SUM(EF$173:EF$176)*100</f>
        <v>39.129619208403675</v>
      </c>
      <c r="EH174" s="101">
        <v>567</v>
      </c>
      <c r="EI174" s="101">
        <f>EH174/SUM(EH$173:EH$176)*100</f>
        <v>33.729922665080309</v>
      </c>
      <c r="EJ174" s="101">
        <v>3002</v>
      </c>
      <c r="EK174" s="101">
        <f>EJ174/SUM(EJ$173:EJ$176)*100</f>
        <v>37.264150943396224</v>
      </c>
      <c r="EL174" s="101">
        <v>3654</v>
      </c>
      <c r="EM174" s="101">
        <f>EL174/SUM(EL$173:EL$176)*100</f>
        <v>38.773344651952463</v>
      </c>
      <c r="EN174" s="101">
        <v>4370</v>
      </c>
      <c r="EO174" s="101">
        <f>EN174/SUM(EN$173:EN$176)*100</f>
        <v>36.480507554887723</v>
      </c>
      <c r="EP174" s="101">
        <v>359</v>
      </c>
      <c r="EQ174" s="101">
        <f>EP174/SUM(EP$173:EP$176)*100</f>
        <v>34.552454282964391</v>
      </c>
      <c r="ER174" s="101">
        <v>21628</v>
      </c>
      <c r="ES174" s="101">
        <f>ER174/SUM(ER$173:ER$176)*100</f>
        <v>47.697600564573037</v>
      </c>
      <c r="ET174" s="101">
        <v>32887</v>
      </c>
      <c r="EU174" s="101">
        <f>ET174/SUM(ET$173:ET$176)*100</f>
        <v>52.75171230130087</v>
      </c>
      <c r="EV174" s="101">
        <v>4628</v>
      </c>
      <c r="EW174" s="101">
        <f>EV174/SUM(EV$173:EV$176)*100</f>
        <v>40.051925573344874</v>
      </c>
      <c r="EX174" s="101">
        <v>44282</v>
      </c>
      <c r="EY174" s="101">
        <f>EX174/SUM(EX$173:EX$176)*100</f>
        <v>58.157891280650375</v>
      </c>
      <c r="EZ174" s="101">
        <v>20583</v>
      </c>
      <c r="FA174" s="101">
        <f>EZ174/SUM(EZ$173:EZ$176)*100</f>
        <v>46.804011187666276</v>
      </c>
      <c r="FB174" s="101">
        <v>6254</v>
      </c>
      <c r="FC174" s="101">
        <f>FB174/SUM(FB$173:FB$176)*100</f>
        <v>29.737054823831489</v>
      </c>
      <c r="FD174" s="101">
        <v>537</v>
      </c>
      <c r="FE174" s="101">
        <f>FD174/SUM(FD$173:FD$176)*100</f>
        <v>31.385154880187027</v>
      </c>
      <c r="FF174" s="101">
        <v>621573</v>
      </c>
      <c r="FG174" s="101">
        <f>FF174/SUM(FF$173:FF$176)*100</f>
        <v>47.85317306648539</v>
      </c>
      <c r="FH174" s="101">
        <v>782321</v>
      </c>
      <c r="FI174" s="101">
        <f>FH174/SUM(FH$173:FH$176)*100</f>
        <v>45.516090201241695</v>
      </c>
    </row>
    <row r="175" spans="2:165" s="106" customFormat="1" x14ac:dyDescent="0.45">
      <c r="B175" s="103">
        <v>170</v>
      </c>
      <c r="C175" s="104" t="s">
        <v>142</v>
      </c>
      <c r="D175" s="105">
        <v>423</v>
      </c>
      <c r="E175" s="105">
        <f>D175/SUM(D$173:D$176)*100</f>
        <v>11.698008849557521</v>
      </c>
      <c r="F175" s="105">
        <v>481</v>
      </c>
      <c r="G175" s="105">
        <f t="shared" ref="E175:G176" si="825">F175/SUM(F$173:F$176)*100</f>
        <v>16.195286195286197</v>
      </c>
      <c r="H175" s="105">
        <v>5732</v>
      </c>
      <c r="I175" s="105">
        <f t="shared" ref="I175" si="826">H175/SUM(H$173:H$176)*100</f>
        <v>19.241356159785163</v>
      </c>
      <c r="J175" s="105">
        <v>5120</v>
      </c>
      <c r="K175" s="105">
        <f t="shared" ref="K175" si="827">J175/SUM(J$173:J$176)*100</f>
        <v>14.722797331492984</v>
      </c>
      <c r="L175" s="105">
        <v>1620</v>
      </c>
      <c r="M175" s="105">
        <f t="shared" ref="M175" si="828">L175/SUM(L$173:L$176)*100</f>
        <v>14.628860393715007</v>
      </c>
      <c r="N175" s="105">
        <v>2350</v>
      </c>
      <c r="O175" s="105">
        <f t="shared" ref="O175" si="829">N175/SUM(N$173:N$176)*100</f>
        <v>14.837732036873344</v>
      </c>
      <c r="P175" s="105">
        <v>3486</v>
      </c>
      <c r="Q175" s="105">
        <f t="shared" ref="Q175" si="830">P175/SUM(P$173:P$176)*100</f>
        <v>12.46602774996424</v>
      </c>
      <c r="R175" s="105">
        <v>618</v>
      </c>
      <c r="S175" s="105">
        <f t="shared" ref="S175" si="831">R175/SUM(R$173:R$176)*100</f>
        <v>15.665399239543726</v>
      </c>
      <c r="T175" s="105">
        <v>5540</v>
      </c>
      <c r="U175" s="105">
        <f t="shared" ref="U175" si="832">T175/SUM(T$173:T$176)*100</f>
        <v>12.417070109377802</v>
      </c>
      <c r="V175" s="105">
        <v>10455</v>
      </c>
      <c r="W175" s="105">
        <f t="shared" ref="W175" si="833">V175/SUM(V$173:V$176)*100</f>
        <v>20.488349761900096</v>
      </c>
      <c r="X175" s="105">
        <v>200</v>
      </c>
      <c r="Y175" s="105">
        <f t="shared" ref="Y175" si="834">X175/SUM(X$173:X$176)*100</f>
        <v>12.414649286157665</v>
      </c>
      <c r="Z175" s="105">
        <v>1669</v>
      </c>
      <c r="AA175" s="105">
        <f t="shared" ref="AA175" si="835">Z175/SUM(Z$173:Z$176)*100</f>
        <v>15.945352058851627</v>
      </c>
      <c r="AB175" s="105">
        <v>4995</v>
      </c>
      <c r="AC175" s="105">
        <f t="shared" ref="AC175" si="836">AB175/SUM(AB$173:AB$176)*100</f>
        <v>15.577246928210567</v>
      </c>
      <c r="AD175" s="105">
        <v>14450</v>
      </c>
      <c r="AE175" s="105">
        <f t="shared" ref="AE175" si="837">AD175/SUM(AD$173:AD$176)*100</f>
        <v>14.844721134979094</v>
      </c>
      <c r="AF175" s="105">
        <v>689</v>
      </c>
      <c r="AG175" s="105">
        <f t="shared" ref="AG175" si="838">AF175/SUM(AF$173:AF$176)*100</f>
        <v>19.501839796207189</v>
      </c>
      <c r="AH175" s="105">
        <v>837</v>
      </c>
      <c r="AI175" s="105">
        <f t="shared" ref="AI175" si="839">AH175/SUM(AH$173:AH$176)*100</f>
        <v>14.496016626255628</v>
      </c>
      <c r="AJ175" s="105">
        <v>596</v>
      </c>
      <c r="AK175" s="105">
        <f t="shared" ref="AK175" si="840">AJ175/SUM(AJ$173:AJ$176)*100</f>
        <v>13.841151881096145</v>
      </c>
      <c r="AL175" s="105">
        <v>5761</v>
      </c>
      <c r="AM175" s="105">
        <f t="shared" ref="AM175" si="841">AL175/SUM(AL$173:AL$176)*100</f>
        <v>15.27063563590097</v>
      </c>
      <c r="AN175" s="105">
        <v>1920</v>
      </c>
      <c r="AO175" s="105">
        <f t="shared" ref="AO175" si="842">AN175/SUM(AN$173:AN$176)*100</f>
        <v>14.460009037505648</v>
      </c>
      <c r="AP175" s="105">
        <v>7587</v>
      </c>
      <c r="AQ175" s="105">
        <f t="shared" ref="AQ175" si="843">AP175/SUM(AP$173:AP$176)*100</f>
        <v>20.18731873453423</v>
      </c>
      <c r="AR175" s="105">
        <v>377</v>
      </c>
      <c r="AS175" s="105">
        <f t="shared" ref="AS175" si="844">AR175/SUM(AR$173:AR$176)*100</f>
        <v>13.260640168835735</v>
      </c>
      <c r="AT175" s="105">
        <v>5132</v>
      </c>
      <c r="AU175" s="105">
        <f t="shared" ref="AU175" si="845">AT175/SUM(AT$173:AT$176)*100</f>
        <v>12.96581693236654</v>
      </c>
      <c r="AV175" s="105">
        <v>824</v>
      </c>
      <c r="AW175" s="105">
        <f t="shared" ref="AW175" si="846">AV175/SUM(AV$173:AV$176)*100</f>
        <v>15.031010580080261</v>
      </c>
      <c r="AX175" s="105">
        <v>746</v>
      </c>
      <c r="AY175" s="105">
        <f t="shared" ref="AY175" si="847">AX175/SUM(AX$173:AX$176)*100</f>
        <v>10.695340501792115</v>
      </c>
      <c r="AZ175" s="105">
        <v>5796</v>
      </c>
      <c r="BA175" s="105">
        <f t="shared" ref="BA175" si="848">AZ175/SUM(AZ$173:AZ$176)*100</f>
        <v>17.957059206245933</v>
      </c>
      <c r="BB175" s="105">
        <v>7605</v>
      </c>
      <c r="BC175" s="105">
        <f t="shared" ref="BC175" si="849">BB175/SUM(BB$173:BB$176)*100</f>
        <v>19.058239775461104</v>
      </c>
      <c r="BD175" s="105">
        <v>11749</v>
      </c>
      <c r="BE175" s="105">
        <f t="shared" ref="BE175" si="850">BD175/SUM(BD$173:BD$176)*100</f>
        <v>16.295423023578362</v>
      </c>
      <c r="BF175" s="105">
        <v>3060</v>
      </c>
      <c r="BG175" s="105">
        <f t="shared" ref="BG175" si="851">BF175/SUM(BF$173:BF$176)*100</f>
        <v>17.45778183477864</v>
      </c>
      <c r="BH175" s="105">
        <v>608</v>
      </c>
      <c r="BI175" s="105">
        <f t="shared" ref="BI175" si="852">BH175/SUM(BH$173:BH$176)*100</f>
        <v>13.496115427302996</v>
      </c>
      <c r="BJ175" s="105">
        <v>181</v>
      </c>
      <c r="BK175" s="105">
        <f t="shared" ref="BK175" si="853">BJ175/SUM(BJ$173:BJ$176)*100</f>
        <v>11.978821972203839</v>
      </c>
      <c r="BL175" s="105">
        <v>3966</v>
      </c>
      <c r="BM175" s="105">
        <f t="shared" ref="BM175" si="854">BL175/SUM(BL$173:BL$176)*100</f>
        <v>15.876065810015612</v>
      </c>
      <c r="BN175" s="105">
        <v>861</v>
      </c>
      <c r="BO175" s="105">
        <f t="shared" ref="BO175" si="855">BN175/SUM(BN$173:BN$176)*100</f>
        <v>15.775009160864787</v>
      </c>
      <c r="BP175" s="105">
        <v>10757</v>
      </c>
      <c r="BQ175" s="105">
        <f t="shared" ref="BQ175" si="856">BP175/SUM(BP$173:BP$176)*100</f>
        <v>16.903156869215419</v>
      </c>
      <c r="BR175" s="105">
        <v>569</v>
      </c>
      <c r="BS175" s="105">
        <f t="shared" ref="BS175" si="857">BR175/SUM(BR$173:BR$176)*100</f>
        <v>11.710228442066269</v>
      </c>
      <c r="BT175" s="105">
        <v>6720</v>
      </c>
      <c r="BU175" s="105">
        <f t="shared" ref="BU175" si="858">BT175/SUM(BT$173:BT$176)*100</f>
        <v>15.388490691337104</v>
      </c>
      <c r="BV175" s="105">
        <v>6796</v>
      </c>
      <c r="BW175" s="105">
        <f t="shared" ref="BW175" si="859">BV175/SUM(BV$173:BV$176)*100</f>
        <v>15.054716228789156</v>
      </c>
      <c r="BX175" s="105">
        <v>4048</v>
      </c>
      <c r="BY175" s="105">
        <f t="shared" ref="BY175" si="860">BX175/SUM(BX$173:BX$176)*100</f>
        <v>19.975326918332101</v>
      </c>
      <c r="BZ175" s="105">
        <v>249</v>
      </c>
      <c r="CA175" s="105">
        <f t="shared" ref="CA175" si="861">BZ175/SUM(BZ$173:BZ$176)*100</f>
        <v>12.639593908629443</v>
      </c>
      <c r="CB175" s="105">
        <v>1739</v>
      </c>
      <c r="CC175" s="105">
        <f t="shared" ref="CC175" si="862">CB175/SUM(CB$173:CB$176)*100</f>
        <v>12.05796699486895</v>
      </c>
      <c r="CD175" s="105">
        <v>4719</v>
      </c>
      <c r="CE175" s="105">
        <f t="shared" ref="CE175" si="863">CD175/SUM(CD$173:CD$176)*100</f>
        <v>13.19557071752139</v>
      </c>
      <c r="CF175" s="105">
        <v>307</v>
      </c>
      <c r="CG175" s="105">
        <f t="shared" ref="CG175" si="864">CF175/SUM(CF$173:CF$176)*100</f>
        <v>11.537016159338595</v>
      </c>
      <c r="CH175" s="105">
        <v>3329</v>
      </c>
      <c r="CI175" s="105">
        <f t="shared" ref="CI175" si="865">CH175/SUM(CH$173:CH$176)*100</f>
        <v>15.400629163582533</v>
      </c>
      <c r="CJ175" s="105">
        <v>4916</v>
      </c>
      <c r="CK175" s="105">
        <f t="shared" ref="CK175" si="866">CJ175/SUM(CJ$173:CJ$176)*100</f>
        <v>15.439698492462311</v>
      </c>
      <c r="CL175" s="105">
        <v>3071</v>
      </c>
      <c r="CM175" s="105">
        <f t="shared" ref="CM175" si="867">CL175/SUM(CL$173:CL$176)*100</f>
        <v>10.008799661050093</v>
      </c>
      <c r="CN175" s="105">
        <v>7858</v>
      </c>
      <c r="CO175" s="105">
        <f t="shared" ref="CO175" si="868">CN175/SUM(CN$173:CN$176)*100</f>
        <v>16.872799106759427</v>
      </c>
      <c r="CP175" s="105">
        <v>2703</v>
      </c>
      <c r="CQ175" s="105">
        <f t="shared" ref="CQ175" si="869">CP175/SUM(CP$173:CP$176)*100</f>
        <v>18.346568926898797</v>
      </c>
      <c r="CR175" s="105">
        <v>2244</v>
      </c>
      <c r="CS175" s="105">
        <f t="shared" ref="CS175" si="870">CR175/SUM(CR$173:CR$176)*100</f>
        <v>16.74252033126912</v>
      </c>
      <c r="CT175" s="105">
        <v>1255</v>
      </c>
      <c r="CU175" s="105">
        <f t="shared" ref="CU175" si="871">CT175/SUM(CT$173:CT$176)*100</f>
        <v>15.374249663114052</v>
      </c>
      <c r="CV175" s="105">
        <v>6972</v>
      </c>
      <c r="CW175" s="105">
        <f t="shared" ref="CW175" si="872">CV175/SUM(CV$173:CV$176)*100</f>
        <v>13.798836242726518</v>
      </c>
      <c r="CX175" s="105">
        <v>4636</v>
      </c>
      <c r="CY175" s="105">
        <f t="shared" ref="CY175" si="873">CX175/SUM(CX$173:CX$176)*100</f>
        <v>14.313059586292065</v>
      </c>
      <c r="CZ175" s="105">
        <v>1590</v>
      </c>
      <c r="DA175" s="105">
        <f t="shared" ref="DA175" si="874">CZ175/SUM(CZ$173:CZ$176)*100</f>
        <v>15.264976958525345</v>
      </c>
      <c r="DB175" s="105">
        <v>6185</v>
      </c>
      <c r="DC175" s="105">
        <f t="shared" ref="DC175" si="875">DB175/SUM(DB$173:DB$176)*100</f>
        <v>14.364012169349033</v>
      </c>
      <c r="DD175" s="105">
        <v>6932</v>
      </c>
      <c r="DE175" s="105">
        <f t="shared" ref="DE175" si="876">DD175/SUM(DD$173:DD$176)*100</f>
        <v>14.867879203843515</v>
      </c>
      <c r="DF175" s="105">
        <v>864</v>
      </c>
      <c r="DG175" s="105">
        <f t="shared" ref="DG175" si="877">DF175/SUM(DF$173:DF$176)*100</f>
        <v>15.853211009174311</v>
      </c>
      <c r="DH175" s="105">
        <v>579</v>
      </c>
      <c r="DI175" s="105">
        <f t="shared" ref="DI175" si="878">DH175/SUM(DH$173:DH$176)*100</f>
        <v>12.123115577889447</v>
      </c>
      <c r="DJ175" s="105">
        <v>536</v>
      </c>
      <c r="DK175" s="105">
        <f t="shared" ref="DK175" si="879">DJ175/SUM(DJ$173:DJ$176)*100</f>
        <v>13.03501945525292</v>
      </c>
      <c r="DL175" s="105">
        <v>2078</v>
      </c>
      <c r="DM175" s="105">
        <f t="shared" ref="DM175" si="880">DL175/SUM(DL$173:DL$176)*100</f>
        <v>11.52459652820143</v>
      </c>
      <c r="DN175" s="105">
        <v>440</v>
      </c>
      <c r="DO175" s="105">
        <f t="shared" ref="DO175" si="881">DN175/SUM(DN$173:DN$176)*100</f>
        <v>14.248704663212436</v>
      </c>
      <c r="DP175" s="105">
        <v>3005</v>
      </c>
      <c r="DQ175" s="105">
        <f t="shared" ref="DQ175" si="882">DP175/SUM(DP$173:DP$176)*100</f>
        <v>12.391241598284607</v>
      </c>
      <c r="DR175" s="105">
        <v>299</v>
      </c>
      <c r="DS175" s="105">
        <f t="shared" ref="DS175" si="883">DR175/SUM(DR$173:DR$176)*100</f>
        <v>14.875621890547263</v>
      </c>
      <c r="DT175" s="105">
        <v>84</v>
      </c>
      <c r="DU175" s="105">
        <f t="shared" ref="DU175" si="884">DT175/SUM(DT$173:DT$176)*100</f>
        <v>8.8421052631578938</v>
      </c>
      <c r="DV175" s="105">
        <v>1094</v>
      </c>
      <c r="DW175" s="105">
        <f t="shared" ref="DW175" si="885">DV175/SUM(DV$173:DV$176)*100</f>
        <v>13.141141141141141</v>
      </c>
      <c r="DX175" s="105">
        <v>618</v>
      </c>
      <c r="DY175" s="105">
        <f t="shared" ref="DY175" si="886">DX175/SUM(DX$173:DX$176)*100</f>
        <v>14.00090620752152</v>
      </c>
      <c r="DZ175" s="105">
        <v>2941</v>
      </c>
      <c r="EA175" s="105">
        <f t="shared" ref="EA175" si="887">DZ175/SUM(DZ$173:DZ$176)*100</f>
        <v>11.533785638652496</v>
      </c>
      <c r="EB175" s="105">
        <v>458</v>
      </c>
      <c r="EC175" s="105">
        <f t="shared" ref="EC175" si="888">EB175/SUM(EB$173:EB$176)*100</f>
        <v>14.707771355170198</v>
      </c>
      <c r="ED175" s="105">
        <v>1070</v>
      </c>
      <c r="EE175" s="105">
        <f t="shared" ref="EE175" si="889">ED175/SUM(ED$173:ED$176)*100</f>
        <v>10.501521248405144</v>
      </c>
      <c r="EF175" s="105">
        <v>796</v>
      </c>
      <c r="EG175" s="105">
        <f t="shared" ref="EG175" si="890">EF175/SUM(EF$173:EF$176)*100</f>
        <v>14.931532545488652</v>
      </c>
      <c r="EH175" s="105">
        <v>165</v>
      </c>
      <c r="EI175" s="105">
        <f t="shared" ref="EI175" si="891">EH175/SUM(EH$173:EH$176)*100</f>
        <v>9.815585960737657</v>
      </c>
      <c r="EJ175" s="105">
        <v>1295</v>
      </c>
      <c r="EK175" s="105">
        <f t="shared" ref="EK175" si="892">EJ175/SUM(EJ$173:EJ$176)*100</f>
        <v>16.074975173783514</v>
      </c>
      <c r="EL175" s="105">
        <v>1650</v>
      </c>
      <c r="EM175" s="105">
        <f t="shared" ref="EM175" si="893">EL175/SUM(EL$173:EL$176)*100</f>
        <v>17.508488964346348</v>
      </c>
      <c r="EN175" s="105">
        <v>1756</v>
      </c>
      <c r="EO175" s="105">
        <f t="shared" ref="EO175" si="894">EN175/SUM(EN$173:EN$176)*100</f>
        <v>14.658986559813005</v>
      </c>
      <c r="EP175" s="105">
        <v>112</v>
      </c>
      <c r="EQ175" s="105">
        <f t="shared" ref="EQ175" si="895">EP175/SUM(EP$173:EP$176)*100</f>
        <v>10.779595765158806</v>
      </c>
      <c r="ER175" s="105">
        <v>6392</v>
      </c>
      <c r="ES175" s="105">
        <f t="shared" ref="ES175" si="896">ER175/SUM(ER$173:ER$176)*100</f>
        <v>14.096683133380381</v>
      </c>
      <c r="ET175" s="105">
        <v>10340</v>
      </c>
      <c r="EU175" s="105">
        <f t="shared" ref="EU175" si="897">ET175/SUM(ET$173:ET$176)*100</f>
        <v>16.585663185923039</v>
      </c>
      <c r="EV175" s="105">
        <v>2219</v>
      </c>
      <c r="EW175" s="105">
        <f t="shared" ref="EW175" si="898">EV175/SUM(EV$173:EV$176)*100</f>
        <v>19.203807875378622</v>
      </c>
      <c r="EX175" s="105">
        <v>10902</v>
      </c>
      <c r="EY175" s="105">
        <f>EX175/SUM(EX$173:EX$176)*100</f>
        <v>14.318172863503237</v>
      </c>
      <c r="EZ175" s="105">
        <v>6465</v>
      </c>
      <c r="FA175" s="105">
        <f t="shared" ref="FA175" si="899">EZ175/SUM(EZ$173:EZ$176)*100</f>
        <v>14.700866361961934</v>
      </c>
      <c r="FB175" s="105">
        <v>2598</v>
      </c>
      <c r="FC175" s="105">
        <f t="shared" ref="FC175:FE175" si="900">FB175/SUM(FB$173:FB$176)*100</f>
        <v>12.353192905710618</v>
      </c>
      <c r="FD175" s="105">
        <v>246</v>
      </c>
      <c r="FE175" s="105">
        <f t="shared" si="900"/>
        <v>14.377556984219755</v>
      </c>
      <c r="FF175" s="105">
        <v>194693</v>
      </c>
      <c r="FG175" s="105">
        <f t="shared" ref="FG175" si="901">FF175/SUM(FF$173:FF$176)*100</f>
        <v>14.988871498332843</v>
      </c>
      <c r="FH175" s="105">
        <v>262040</v>
      </c>
      <c r="FI175" s="105">
        <f t="shared" ref="FI175" si="902">FH175/SUM(FH$173:FH$176)*100</f>
        <v>15.245706399717474</v>
      </c>
    </row>
    <row r="176" spans="2:165" s="102" customFormat="1" x14ac:dyDescent="0.45">
      <c r="B176" s="18">
        <v>171</v>
      </c>
      <c r="C176" s="100" t="s">
        <v>143</v>
      </c>
      <c r="D176" s="101">
        <v>38</v>
      </c>
      <c r="E176" s="101">
        <f t="shared" si="825"/>
        <v>1.0508849557522124</v>
      </c>
      <c r="F176" s="101">
        <v>54</v>
      </c>
      <c r="G176" s="101">
        <f t="shared" si="825"/>
        <v>1.8181818181818181</v>
      </c>
      <c r="H176" s="101">
        <v>444</v>
      </c>
      <c r="I176" s="101">
        <f t="shared" ref="I176" si="903">H176/SUM(H$173:H$176)*100</f>
        <v>1.4904330312185297</v>
      </c>
      <c r="J176" s="101">
        <v>503</v>
      </c>
      <c r="K176" s="101">
        <f t="shared" ref="K176" si="904">J176/SUM(J$173:J$176)*100</f>
        <v>1.4463998159650333</v>
      </c>
      <c r="L176" s="101">
        <v>108</v>
      </c>
      <c r="M176" s="101">
        <f t="shared" ref="M176" si="905">L176/SUM(L$173:L$176)*100</f>
        <v>0.97525735958100057</v>
      </c>
      <c r="N176" s="101">
        <v>184</v>
      </c>
      <c r="O176" s="101">
        <f t="shared" ref="O176" si="906">N176/SUM(N$173:N$176)*100</f>
        <v>1.1617628488445511</v>
      </c>
      <c r="P176" s="101">
        <v>250</v>
      </c>
      <c r="Q176" s="101">
        <f t="shared" ref="Q176" si="907">P176/SUM(P$173:P$176)*100</f>
        <v>0.89400657988842802</v>
      </c>
      <c r="R176" s="101">
        <v>46</v>
      </c>
      <c r="S176" s="101">
        <f t="shared" ref="S176" si="908">R176/SUM(R$173:R$176)*100</f>
        <v>1.1660329531051965</v>
      </c>
      <c r="T176" s="101">
        <v>748</v>
      </c>
      <c r="U176" s="101">
        <f t="shared" ref="U176" si="909">T176/SUM(T$173:T$176)*100</f>
        <v>1.6765285996055226</v>
      </c>
      <c r="V176" s="101">
        <v>1181</v>
      </c>
      <c r="W176" s="101">
        <f t="shared" ref="W176" si="910">V176/SUM(V$173:V$176)*100</f>
        <v>2.3143702600482081</v>
      </c>
      <c r="X176" s="101">
        <v>31</v>
      </c>
      <c r="Y176" s="101">
        <f t="shared" ref="Y176" si="911">X176/SUM(X$173:X$176)*100</f>
        <v>1.9242706393544382</v>
      </c>
      <c r="Z176" s="101">
        <v>131</v>
      </c>
      <c r="AA176" s="101">
        <f t="shared" ref="AA176" si="912">Z176/SUM(Z$173:Z$176)*100</f>
        <v>1.2515524983280786</v>
      </c>
      <c r="AB176" s="101">
        <v>386</v>
      </c>
      <c r="AC176" s="101">
        <f t="shared" ref="AC176" si="913">AB176/SUM(AB$173:AB$176)*100</f>
        <v>1.2037672300879436</v>
      </c>
      <c r="AD176" s="101">
        <v>1308</v>
      </c>
      <c r="AE176" s="101">
        <f t="shared" ref="AE176" si="914">AD176/SUM(AD$173:AD$176)*100</f>
        <v>1.3437297747095263</v>
      </c>
      <c r="AF176" s="101">
        <v>60</v>
      </c>
      <c r="AG176" s="101">
        <f t="shared" ref="AG176" si="915">AF176/SUM(AF$173:AF$176)*100</f>
        <v>1.6982734220209454</v>
      </c>
      <c r="AH176" s="101">
        <v>94</v>
      </c>
      <c r="AI176" s="101">
        <f t="shared" ref="AI176" si="916">AH176/SUM(AH$173:AH$176)*100</f>
        <v>1.6279875303082785</v>
      </c>
      <c r="AJ176" s="101">
        <v>70</v>
      </c>
      <c r="AK176" s="101">
        <f t="shared" ref="AK176" si="917">AJ176/SUM(AJ$173:AJ$176)*100</f>
        <v>1.6256386437529029</v>
      </c>
      <c r="AL176" s="101">
        <v>945</v>
      </c>
      <c r="AM176" s="101">
        <f t="shared" ref="AM176" si="918">AL176/SUM(AL$173:AL$176)*100</f>
        <v>2.5049037798865506</v>
      </c>
      <c r="AN176" s="101">
        <v>151</v>
      </c>
      <c r="AO176" s="101">
        <f t="shared" ref="AO176" si="919">AN176/SUM(AN$173:AN$176)*100</f>
        <v>1.1372194607621631</v>
      </c>
      <c r="AP176" s="101">
        <v>570</v>
      </c>
      <c r="AQ176" s="101">
        <f t="shared" ref="AQ176" si="920">AP176/SUM(AP$173:AP$176)*100</f>
        <v>1.5166431631322672</v>
      </c>
      <c r="AR176" s="101">
        <v>42</v>
      </c>
      <c r="AS176" s="101">
        <f t="shared" ref="AS176" si="921">AR176/SUM(AR$173:AR$176)*100</f>
        <v>1.4773126978543791</v>
      </c>
      <c r="AT176" s="101">
        <v>658</v>
      </c>
      <c r="AU176" s="101">
        <f t="shared" ref="AU176" si="922">AT176/SUM(AT$173:AT$176)*100</f>
        <v>1.6624137843915012</v>
      </c>
      <c r="AV176" s="101">
        <v>67</v>
      </c>
      <c r="AW176" s="101">
        <f t="shared" ref="AW176" si="923">AV176/SUM(AV$173:AV$176)*100</f>
        <v>1.2221816855162349</v>
      </c>
      <c r="AX176" s="101">
        <v>50</v>
      </c>
      <c r="AY176" s="101">
        <f t="shared" ref="AY176" si="924">AX176/SUM(AX$173:AX$176)*100</f>
        <v>0.71684587813620071</v>
      </c>
      <c r="AZ176" s="101">
        <v>521</v>
      </c>
      <c r="BA176" s="101">
        <f t="shared" ref="BA176" si="925">AZ176/SUM(AZ$173:AZ$176)*100</f>
        <v>1.6141524924869102</v>
      </c>
      <c r="BB176" s="101">
        <v>1034</v>
      </c>
      <c r="BC176" s="101">
        <f t="shared" ref="BC176" si="926">BB176/SUM(BB$173:BB$176)*100</f>
        <v>2.5912189254210105</v>
      </c>
      <c r="BD176" s="101">
        <v>1088</v>
      </c>
      <c r="BE176" s="101">
        <f t="shared" ref="BE176" si="927">BD176/SUM(BD$173:BD$176)*100</f>
        <v>1.5090152565880721</v>
      </c>
      <c r="BF176" s="101">
        <v>247</v>
      </c>
      <c r="BG176" s="101">
        <f t="shared" ref="BG176" si="928">BF176/SUM(BF$173:BF$176)*100</f>
        <v>1.4091738931994522</v>
      </c>
      <c r="BH176" s="101">
        <v>51</v>
      </c>
      <c r="BI176" s="101">
        <f t="shared" ref="BI176" si="929">BH176/SUM(BH$173:BH$176)*100</f>
        <v>1.1320754716981132</v>
      </c>
      <c r="BJ176" s="101">
        <v>28</v>
      </c>
      <c r="BK176" s="101">
        <f t="shared" ref="BK176" si="930">BJ176/SUM(BJ$173:BJ$176)*100</f>
        <v>1.8530774321641297</v>
      </c>
      <c r="BL176" s="101">
        <v>455</v>
      </c>
      <c r="BM176" s="101">
        <f t="shared" ref="BM176" si="931">BL176/SUM(BL$173:BL$176)*100</f>
        <v>1.8213842520315442</v>
      </c>
      <c r="BN176" s="101">
        <v>71</v>
      </c>
      <c r="BO176" s="101">
        <f t="shared" ref="BO176" si="932">BN176/SUM(BN$173:BN$176)*100</f>
        <v>1.3008427995602785</v>
      </c>
      <c r="BP176" s="101">
        <v>970</v>
      </c>
      <c r="BQ176" s="101">
        <f t="shared" ref="BQ176" si="933">BP176/SUM(BP$173:BP$176)*100</f>
        <v>1.5242225679221861</v>
      </c>
      <c r="BR176" s="101">
        <v>49</v>
      </c>
      <c r="BS176" s="101">
        <f t="shared" ref="BS176" si="934">BR176/SUM(BR$173:BR$176)*100</f>
        <v>1.0084379501955134</v>
      </c>
      <c r="BT176" s="101">
        <v>629</v>
      </c>
      <c r="BU176" s="101">
        <f t="shared" ref="BU176" si="935">BT176/SUM(BT$173:BT$176)*100</f>
        <v>1.4403810483409283</v>
      </c>
      <c r="BV176" s="101">
        <v>605</v>
      </c>
      <c r="BW176" s="101">
        <f t="shared" ref="BW176" si="936">BV176/SUM(BV$173:BV$176)*100</f>
        <v>1.3402153205440608</v>
      </c>
      <c r="BX176" s="101">
        <v>289</v>
      </c>
      <c r="BY176" s="101">
        <f t="shared" ref="BY176" si="937">BX176/SUM(BX$173:BX$176)*100</f>
        <v>1.4261041204046385</v>
      </c>
      <c r="BZ176" s="101">
        <v>27</v>
      </c>
      <c r="CA176" s="101">
        <f t="shared" ref="CA176" si="938">BZ176/SUM(BZ$173:BZ$176)*100</f>
        <v>1.3705583756345179</v>
      </c>
      <c r="CB176" s="101">
        <v>105</v>
      </c>
      <c r="CC176" s="101">
        <f t="shared" ref="CC176" si="939">CB176/SUM(CB$173:CB$176)*100</f>
        <v>0.72805436139231727</v>
      </c>
      <c r="CD176" s="101">
        <v>471</v>
      </c>
      <c r="CE176" s="101">
        <f t="shared" ref="CE176" si="940">CD176/SUM(CD$173:CD$176)*100</f>
        <v>1.3170404339802024</v>
      </c>
      <c r="CF176" s="101">
        <v>21</v>
      </c>
      <c r="CG176" s="101">
        <f t="shared" ref="CG176" si="941">CF176/SUM(CF$173:CF$176)*100</f>
        <v>0.78917700112739564</v>
      </c>
      <c r="CH176" s="101">
        <v>661</v>
      </c>
      <c r="CI176" s="101">
        <f t="shared" ref="CI176" si="942">CH176/SUM(CH$173:CH$176)*100</f>
        <v>3.0579200592153959</v>
      </c>
      <c r="CJ176" s="101">
        <v>407</v>
      </c>
      <c r="CK176" s="101">
        <f t="shared" ref="CK176" si="943">CJ176/SUM(CJ$173:CJ$176)*100</f>
        <v>1.2782663316582914</v>
      </c>
      <c r="CL176" s="101">
        <v>1745</v>
      </c>
      <c r="CM176" s="101">
        <f t="shared" ref="CM176" si="944">CL176/SUM(CL$173:CL$176)*100</f>
        <v>5.6871883453378089</v>
      </c>
      <c r="CN176" s="101">
        <v>605</v>
      </c>
      <c r="CO176" s="101">
        <f t="shared" ref="CO176" si="945">CN176/SUM(CN$173:CN$176)*100</f>
        <v>1.2990638151679121</v>
      </c>
      <c r="CP176" s="101">
        <v>239</v>
      </c>
      <c r="CQ176" s="101">
        <f t="shared" ref="CQ176" si="946">CP176/SUM(CP$173:CP$176)*100</f>
        <v>1.6222086472544628</v>
      </c>
      <c r="CR176" s="101">
        <v>161</v>
      </c>
      <c r="CS176" s="101">
        <f t="shared" ref="CS176" si="947">CR176/SUM(CR$173:CR$176)*100</f>
        <v>1.2012236066552264</v>
      </c>
      <c r="CT176" s="101">
        <v>76</v>
      </c>
      <c r="CU176" s="101">
        <f t="shared" ref="CU176" si="948">CT176/SUM(CT$173:CT$176)*100</f>
        <v>0.93103025848340071</v>
      </c>
      <c r="CV176" s="101">
        <v>1089</v>
      </c>
      <c r="CW176" s="101">
        <f t="shared" ref="CW176" si="949">CV176/SUM(CV$173:CV$176)*100</f>
        <v>2.1553259707873176</v>
      </c>
      <c r="CX176" s="101">
        <v>670</v>
      </c>
      <c r="CY176" s="101">
        <f t="shared" ref="CY176" si="950">CX176/SUM(CX$173:CX$176)*100</f>
        <v>2.0685396727384995</v>
      </c>
      <c r="CZ176" s="101">
        <v>124</v>
      </c>
      <c r="DA176" s="101">
        <f t="shared" ref="DA176" si="951">CZ176/SUM(CZ$173:CZ$176)*100</f>
        <v>1.1904761904761905</v>
      </c>
      <c r="DB176" s="101">
        <v>1092</v>
      </c>
      <c r="DC176" s="101">
        <f t="shared" ref="DC176" si="952">DB176/SUM(DB$173:DB$176)*100</f>
        <v>2.5360551801017208</v>
      </c>
      <c r="DD176" s="101">
        <v>473</v>
      </c>
      <c r="DE176" s="101">
        <f t="shared" ref="DE176" si="953">DD176/SUM(DD$173:DD$176)*100</f>
        <v>1.0144989704873026</v>
      </c>
      <c r="DF176" s="101">
        <v>63</v>
      </c>
      <c r="DG176" s="101">
        <f t="shared" ref="DG176" si="954">DF176/SUM(DF$173:DF$176)*100</f>
        <v>1.1559633027522935</v>
      </c>
      <c r="DH176" s="101">
        <v>58</v>
      </c>
      <c r="DI176" s="101">
        <f t="shared" ref="DI176" si="955">DH176/SUM(DH$173:DH$176)*100</f>
        <v>1.2144053601340032</v>
      </c>
      <c r="DJ176" s="101">
        <v>31</v>
      </c>
      <c r="DK176" s="101">
        <f t="shared" ref="DK176" si="956">DJ176/SUM(DJ$173:DJ$176)*100</f>
        <v>0.75389105058365757</v>
      </c>
      <c r="DL176" s="101">
        <v>133</v>
      </c>
      <c r="DM176" s="101">
        <f t="shared" ref="DM176" si="957">DL176/SUM(DL$173:DL$176)*100</f>
        <v>0.7376185458377239</v>
      </c>
      <c r="DN176" s="101">
        <v>56</v>
      </c>
      <c r="DO176" s="101">
        <f t="shared" ref="DO176" si="958">DN176/SUM(DN$173:DN$176)*100</f>
        <v>1.8134715025906734</v>
      </c>
      <c r="DP176" s="101">
        <v>545</v>
      </c>
      <c r="DQ176" s="101">
        <f t="shared" ref="DQ176" si="959">DP176/SUM(DP$173:DP$176)*100</f>
        <v>2.2473300070100199</v>
      </c>
      <c r="DR176" s="101">
        <v>20</v>
      </c>
      <c r="DS176" s="101">
        <f t="shared" ref="DS176" si="960">DR176/SUM(DR$173:DR$176)*100</f>
        <v>0.99502487562189057</v>
      </c>
      <c r="DT176" s="101">
        <v>9</v>
      </c>
      <c r="DU176" s="101">
        <f t="shared" ref="DU176" si="961">DT176/SUM(DT$173:DT$176)*100</f>
        <v>0.94736842105263164</v>
      </c>
      <c r="DV176" s="101">
        <v>80</v>
      </c>
      <c r="DW176" s="101">
        <f t="shared" ref="DW176" si="962">DV176/SUM(DV$173:DV$176)*100</f>
        <v>0.96096096096096095</v>
      </c>
      <c r="DX176" s="101">
        <v>62</v>
      </c>
      <c r="DY176" s="101">
        <f t="shared" ref="DY176" si="963">DX176/SUM(DX$173:DX$176)*100</f>
        <v>1.4046216583597644</v>
      </c>
      <c r="DZ176" s="101">
        <v>668</v>
      </c>
      <c r="EA176" s="101">
        <f t="shared" ref="EA176" si="964">DZ176/SUM(DZ$173:DZ$176)*100</f>
        <v>2.6197105768853679</v>
      </c>
      <c r="EB176" s="101">
        <v>43</v>
      </c>
      <c r="EC176" s="101">
        <f t="shared" ref="EC176" si="965">EB176/SUM(EB$173:EB$176)*100</f>
        <v>1.3808606294155428</v>
      </c>
      <c r="ED176" s="101">
        <v>82</v>
      </c>
      <c r="EE176" s="101">
        <f t="shared" ref="EE176" si="966">ED176/SUM(ED$173:ED$176)*100</f>
        <v>0.80478947884973995</v>
      </c>
      <c r="EF176" s="101">
        <v>103</v>
      </c>
      <c r="EG176" s="101">
        <f t="shared" ref="EG176" si="967">EF176/SUM(EF$173:EF$176)*100</f>
        <v>1.9320952916901144</v>
      </c>
      <c r="EH176" s="101">
        <v>11</v>
      </c>
      <c r="EI176" s="101">
        <f t="shared" ref="EI176" si="968">EH176/SUM(EH$173:EH$176)*100</f>
        <v>0.65437239738251041</v>
      </c>
      <c r="EJ176" s="101">
        <v>99</v>
      </c>
      <c r="EK176" s="101">
        <f t="shared" ref="EK176" si="969">EJ176/SUM(EJ$173:EJ$176)*100</f>
        <v>1.2288977159880834</v>
      </c>
      <c r="EL176" s="101">
        <v>161</v>
      </c>
      <c r="EM176" s="101">
        <f t="shared" ref="EM176" si="970">EL176/SUM(EL$173:EL$176)*100</f>
        <v>1.7084040747028864</v>
      </c>
      <c r="EN176" s="101">
        <v>163</v>
      </c>
      <c r="EO176" s="101">
        <f t="shared" ref="EO176" si="971">EN176/SUM(EN$173:EN$176)*100</f>
        <v>1.3607145838550798</v>
      </c>
      <c r="EP176" s="101">
        <v>13</v>
      </c>
      <c r="EQ176" s="101">
        <f t="shared" ref="EQ176" si="972">EP176/SUM(EP$173:EP$176)*100</f>
        <v>1.2512030798845042</v>
      </c>
      <c r="ER176" s="101">
        <v>897</v>
      </c>
      <c r="ES176" s="101">
        <f t="shared" ref="ES176" si="973">ER176/SUM(ER$173:ER$176)*100</f>
        <v>1.9782110091743119</v>
      </c>
      <c r="ET176" s="101">
        <v>967</v>
      </c>
      <c r="EU176" s="101">
        <f t="shared" ref="EU176" si="974">ET176/SUM(ET$173:ET$176)*100</f>
        <v>1.5510963540413518</v>
      </c>
      <c r="EV176" s="101">
        <v>163</v>
      </c>
      <c r="EW176" s="101">
        <f t="shared" ref="EW176" si="975">EV176/SUM(EV$173:EV$176)*100</f>
        <v>1.4106447425356989</v>
      </c>
      <c r="EX176" s="101">
        <v>1231</v>
      </c>
      <c r="EY176" s="101">
        <f t="shared" ref="EY176" si="976">EX176/SUM(EX$173:EX$176)*100</f>
        <v>1.6167373688288831</v>
      </c>
      <c r="EZ176" s="101">
        <v>446</v>
      </c>
      <c r="FA176" s="101">
        <f t="shared" ref="FA176" si="977">EZ176/SUM(EZ$173:EZ$176)*100</f>
        <v>1.0141664961229735</v>
      </c>
      <c r="FB176" s="101">
        <v>621</v>
      </c>
      <c r="FC176" s="101">
        <f t="shared" ref="FC176:FE176" si="978">FB176/SUM(FB$173:FB$176)*100</f>
        <v>2.9527839855451479</v>
      </c>
      <c r="FD176" s="101">
        <v>22</v>
      </c>
      <c r="FE176" s="101">
        <f t="shared" si="978"/>
        <v>1.2857977790765636</v>
      </c>
      <c r="FF176" s="101">
        <v>23181</v>
      </c>
      <c r="FG176" s="101">
        <f t="shared" ref="FG176" si="979">FF176/SUM(FF$173:FF$176)*100</f>
        <v>1.7846405890445658</v>
      </c>
      <c r="FH176" s="101">
        <v>28875</v>
      </c>
      <c r="FI176" s="101">
        <f t="shared" ref="FI176" si="980">FH176/SUM(FH$173:FH$176)*100</f>
        <v>1.6799716542964513</v>
      </c>
    </row>
    <row r="177" spans="2:165" x14ac:dyDescent="0.45">
      <c r="B177" s="18">
        <v>172</v>
      </c>
      <c r="E177" s="3"/>
      <c r="P177" s="3"/>
    </row>
    <row r="178" spans="2:165" x14ac:dyDescent="0.4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45">
      <c r="B179" s="18">
        <v>174</v>
      </c>
    </row>
    <row r="180" spans="2:165" x14ac:dyDescent="0.45">
      <c r="B180" s="18">
        <v>175</v>
      </c>
      <c r="C180" s="2" t="s">
        <v>239</v>
      </c>
    </row>
    <row r="181" spans="2:165" x14ac:dyDescent="0.4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4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4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45">
      <c r="B184" s="18">
        <v>179</v>
      </c>
    </row>
    <row r="185" spans="2:165" x14ac:dyDescent="0.4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45">
      <c r="B186" s="18">
        <v>181</v>
      </c>
    </row>
    <row r="187" spans="2:165" x14ac:dyDescent="0.45">
      <c r="B187" s="18">
        <v>182</v>
      </c>
      <c r="C187" s="2" t="s">
        <v>145</v>
      </c>
    </row>
    <row r="188" spans="2:165" x14ac:dyDescent="0.4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4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4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4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4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4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4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4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4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4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4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4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4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4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45">
      <c r="B202" s="18">
        <v>197</v>
      </c>
    </row>
    <row r="203" spans="2:165" x14ac:dyDescent="0.4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25" x14ac:dyDescent="0.45"/>
  <cols>
    <col min="2" max="2" width="3.46484375" customWidth="1"/>
    <col min="3" max="4" width="5.59765625" customWidth="1"/>
    <col min="5" max="5" width="13.59765625" customWidth="1"/>
    <col min="6" max="6" width="9.06640625" style="20"/>
    <col min="7" max="7" width="9.06640625" style="22"/>
    <col min="12" max="12" width="14" customWidth="1"/>
    <col min="16" max="16" width="9.9296875" customWidth="1"/>
  </cols>
  <sheetData>
    <row r="1" spans="3:18" x14ac:dyDescent="0.45">
      <c r="D1" t="s">
        <v>242</v>
      </c>
    </row>
    <row r="2" spans="3:18" x14ac:dyDescent="0.45">
      <c r="J2" s="140" t="s">
        <v>246</v>
      </c>
      <c r="K2" s="140"/>
      <c r="L2" s="27"/>
      <c r="M2" s="27"/>
      <c r="N2" s="27"/>
      <c r="O2" s="27"/>
    </row>
    <row r="3" spans="3:18" x14ac:dyDescent="0.4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35</v>
      </c>
      <c r="Q3" s="26" t="s">
        <v>243</v>
      </c>
      <c r="R3" s="25">
        <f>'Municipal Detail'!H3</f>
        <v>81</v>
      </c>
    </row>
    <row r="4" spans="3:18" x14ac:dyDescent="0.4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45">
      <c r="C5" s="19">
        <v>1</v>
      </c>
      <c r="D5" s="18">
        <v>13</v>
      </c>
      <c r="E5" s="5" t="s">
        <v>11</v>
      </c>
      <c r="F5" s="20">
        <f>VLOOKUP($D5,Data!$B$6:$FI$203,2+2*Mid!$M$3-1)</f>
        <v>74</v>
      </c>
      <c r="G5" s="23">
        <f>VLOOKUP($D5,Data!$B$6:$FI$203,2+2*Mid!$M$3)</f>
        <v>4.8341368452684254E-2</v>
      </c>
      <c r="H5" s="20">
        <f t="shared" ref="H5:H9" si="0">F5+0.00001*D5</f>
        <v>74.000129999999999</v>
      </c>
      <c r="I5" s="23">
        <f t="shared" ref="I5:I9" si="1">G5+0.00001*D5</f>
        <v>4.8471368452684252E-2</v>
      </c>
      <c r="J5" s="1">
        <f>RANK(H5,H$5:H$54)</f>
        <v>49</v>
      </c>
      <c r="K5" s="1">
        <f>RANK(I5,I$5:I$54)</f>
        <v>49</v>
      </c>
      <c r="L5" s="5" t="str">
        <f>VLOOKUP(MATCH($C5,$J$5:$J$54,0),$C$5:$G$54,3)</f>
        <v>Australia</v>
      </c>
      <c r="M5" s="20">
        <f>VLOOKUP(MATCH($C5,$J$5:$J$54,0),$C$5:$G$54,4)</f>
        <v>102579</v>
      </c>
      <c r="N5" s="24">
        <f>VLOOKUP(MATCH($C5,$J$5:$J$54,0),$C$5:$G$54,5)</f>
        <v>67.010935601458073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45">
      <c r="C6" s="19">
        <v>2</v>
      </c>
      <c r="D6" s="18">
        <v>14</v>
      </c>
      <c r="E6" s="5" t="s">
        <v>12</v>
      </c>
      <c r="F6" s="20">
        <f>VLOOKUP($D6,Data!$B$6:$FI$203,2+2*Mid!$M$3-1)</f>
        <v>102579</v>
      </c>
      <c r="G6" s="23">
        <f>VLOOKUP($D6,Data!$B$6:$FI$203,2+2*Mid!$M$3)</f>
        <v>67.010935601458073</v>
      </c>
      <c r="H6" s="20">
        <f t="shared" si="0"/>
        <v>102579.00014</v>
      </c>
      <c r="I6" s="23">
        <f t="shared" si="1"/>
        <v>67.011075601458074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England</v>
      </c>
      <c r="M6" s="20">
        <f t="shared" ref="M6:M54" si="5">VLOOKUP(MATCH($C6,$J$5:$J$54,0),$C$5:$G$54,4)</f>
        <v>6117</v>
      </c>
      <c r="N6" s="24">
        <f t="shared" ref="N6:N54" si="6">VLOOKUP(MATCH($C6,$J$5:$J$54,0),$C$5:$G$54,5)</f>
        <v>3.9960020381766159</v>
      </c>
      <c r="Q6" s="20">
        <f>VLOOKUP(L6,Data!$C$18:$FI$67,2+Mid!$R$3*2-2)</f>
        <v>174552</v>
      </c>
      <c r="R6" s="24">
        <f>VLOOKUP(L6,Data!$C$18:$FI$67,2+Mid!$R$3*2-1)</f>
        <v>2.8242315807765475</v>
      </c>
    </row>
    <row r="7" spans="3:18" x14ac:dyDescent="0.45">
      <c r="C7" s="19">
        <v>3</v>
      </c>
      <c r="D7" s="18">
        <v>15</v>
      </c>
      <c r="E7" s="5" t="s">
        <v>13</v>
      </c>
      <c r="F7" s="20">
        <f>VLOOKUP($D7,Data!$B$6:$FI$203,2+2*Mid!$M$3-1)</f>
        <v>170</v>
      </c>
      <c r="G7" s="23">
        <f>VLOOKUP($D7,Data!$B$6:$FI$203,2+2*Mid!$M$3)</f>
        <v>0.11105449509400438</v>
      </c>
      <c r="H7" s="20">
        <f t="shared" si="0"/>
        <v>170.00014999999999</v>
      </c>
      <c r="I7" s="23">
        <f t="shared" si="1"/>
        <v>0.11120449509400437</v>
      </c>
      <c r="J7" s="1">
        <f t="shared" si="2"/>
        <v>41</v>
      </c>
      <c r="K7" s="1">
        <f t="shared" si="3"/>
        <v>41</v>
      </c>
      <c r="L7" s="5" t="str">
        <f t="shared" si="4"/>
        <v>India</v>
      </c>
      <c r="M7" s="20">
        <f t="shared" si="5"/>
        <v>5712</v>
      </c>
      <c r="N7" s="24">
        <f t="shared" si="6"/>
        <v>3.7314310351585465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45">
      <c r="C8" s="19">
        <v>4</v>
      </c>
      <c r="D8" s="18">
        <v>16</v>
      </c>
      <c r="E8" s="5" t="s">
        <v>14</v>
      </c>
      <c r="F8" s="20">
        <f>VLOOKUP($D8,Data!$B$6:$FI$203,2+2*Mid!$M$3-1)</f>
        <v>225</v>
      </c>
      <c r="G8" s="23">
        <f>VLOOKUP($D8,Data!$B$6:$FI$203,2+2*Mid!$M$3)</f>
        <v>0.14698389056559399</v>
      </c>
      <c r="H8" s="20">
        <f t="shared" si="0"/>
        <v>225.00015999999999</v>
      </c>
      <c r="I8" s="23">
        <f t="shared" si="1"/>
        <v>0.14714389056559399</v>
      </c>
      <c r="J8" s="1">
        <f t="shared" si="2"/>
        <v>37</v>
      </c>
      <c r="K8" s="1">
        <f t="shared" si="3"/>
        <v>37</v>
      </c>
      <c r="L8" s="5" t="str">
        <f t="shared" si="4"/>
        <v>China</v>
      </c>
      <c r="M8" s="20">
        <f t="shared" si="5"/>
        <v>4449</v>
      </c>
      <c r="N8" s="24">
        <f t="shared" si="6"/>
        <v>2.9063614627836789</v>
      </c>
      <c r="Q8" s="20">
        <f>VLOOKUP(L8,Data!$C$18:$FI$67,2+Mid!$R$3*2-2)</f>
        <v>171447</v>
      </c>
      <c r="R8" s="24">
        <f>VLOOKUP(L8,Data!$C$18:$FI$67,2+Mid!$R$3*2-1)</f>
        <v>2.7739930326171955</v>
      </c>
    </row>
    <row r="9" spans="3:18" x14ac:dyDescent="0.45">
      <c r="C9" s="19">
        <v>5</v>
      </c>
      <c r="D9" s="18">
        <v>17</v>
      </c>
      <c r="E9" s="5" t="s">
        <v>15</v>
      </c>
      <c r="F9" s="20">
        <f>VLOOKUP($D9,Data!$B$6:$FI$203,2+2*Mid!$M$3-1)</f>
        <v>232</v>
      </c>
      <c r="G9" s="23">
        <f>VLOOKUP($D9,Data!$B$6:$FI$203,2+2*Mid!$M$3)</f>
        <v>0.1515567227165236</v>
      </c>
      <c r="H9" s="20">
        <f t="shared" si="0"/>
        <v>232.00017</v>
      </c>
      <c r="I9" s="23">
        <f t="shared" si="1"/>
        <v>0.1517267227165236</v>
      </c>
      <c r="J9" s="1">
        <f t="shared" si="2"/>
        <v>36</v>
      </c>
      <c r="K9" s="1">
        <f t="shared" si="3"/>
        <v>36</v>
      </c>
      <c r="L9" s="5" t="str">
        <f t="shared" si="4"/>
        <v>Greece</v>
      </c>
      <c r="M9" s="20">
        <f t="shared" si="5"/>
        <v>2962</v>
      </c>
      <c r="N9" s="24">
        <f t="shared" si="6"/>
        <v>1.9349612615790643</v>
      </c>
      <c r="Q9" s="20">
        <f>VLOOKUP(L9,Data!$C$18:$FI$67,2+Mid!$R$3*2-2)</f>
        <v>46623</v>
      </c>
      <c r="R9" s="24">
        <f>VLOOKUP(L9,Data!$C$18:$FI$67,2+Mid!$R$3*2-1)</f>
        <v>0.75435485695119486</v>
      </c>
    </row>
    <row r="10" spans="3:18" x14ac:dyDescent="0.45">
      <c r="C10" s="19">
        <v>6</v>
      </c>
      <c r="D10" s="18">
        <v>18</v>
      </c>
      <c r="E10" s="5" t="s">
        <v>16</v>
      </c>
      <c r="F10" s="20">
        <f>VLOOKUP($D10,Data!$B$6:$FI$203,2+2*Mid!$M$3-1)</f>
        <v>951</v>
      </c>
      <c r="G10" s="23">
        <f>VLOOKUP($D10,Data!$B$6:$FI$203,2+2*Mid!$M$3)</f>
        <v>0.62125191079057729</v>
      </c>
      <c r="H10" s="20">
        <f t="shared" ref="H10:H54" si="7">F10+0.00001*D10</f>
        <v>951.00018</v>
      </c>
      <c r="I10" s="23">
        <f t="shared" ref="I10:I54" si="8">G10+0.00001*D10</f>
        <v>0.62143191079057725</v>
      </c>
      <c r="J10" s="1">
        <f t="shared" si="2"/>
        <v>13</v>
      </c>
      <c r="K10" s="1">
        <f t="shared" si="3"/>
        <v>13</v>
      </c>
      <c r="L10" s="5" t="str">
        <f t="shared" si="4"/>
        <v>New Zealand</v>
      </c>
      <c r="M10" s="20">
        <f t="shared" si="5"/>
        <v>2369</v>
      </c>
      <c r="N10" s="24">
        <f t="shared" si="6"/>
        <v>1.5475770522217431</v>
      </c>
      <c r="Q10" s="20">
        <f>VLOOKUP(L10,Data!$C$18:$FI$67,2+Mid!$R$3*2-2)</f>
        <v>99344</v>
      </c>
      <c r="R10" s="24">
        <f>VLOOKUP(L10,Data!$C$18:$FI$67,2+Mid!$R$3*2-1)</f>
        <v>1.6073746629122858</v>
      </c>
    </row>
    <row r="11" spans="3:18" x14ac:dyDescent="0.45">
      <c r="C11" s="19">
        <v>7</v>
      </c>
      <c r="D11" s="18">
        <v>19</v>
      </c>
      <c r="E11" s="5" t="s">
        <v>17</v>
      </c>
      <c r="F11" s="20">
        <f>VLOOKUP($D11,Data!$B$6:$FI$203,2+2*Mid!$M$3-1)</f>
        <v>360</v>
      </c>
      <c r="G11" s="23">
        <f>VLOOKUP($D11,Data!$B$6:$FI$203,2+2*Mid!$M$3)</f>
        <v>0.23517422490495041</v>
      </c>
      <c r="H11" s="20">
        <f t="shared" si="7"/>
        <v>360.00018999999998</v>
      </c>
      <c r="I11" s="23">
        <f t="shared" si="8"/>
        <v>0.2353642249049504</v>
      </c>
      <c r="J11" s="1">
        <f t="shared" si="2"/>
        <v>27</v>
      </c>
      <c r="K11" s="1">
        <f t="shared" si="3"/>
        <v>27</v>
      </c>
      <c r="L11" s="5" t="str">
        <f t="shared" si="4"/>
        <v>Vietnam</v>
      </c>
      <c r="M11" s="20">
        <f t="shared" si="5"/>
        <v>1640</v>
      </c>
      <c r="N11" s="24">
        <f t="shared" si="6"/>
        <v>1.0713492467892185</v>
      </c>
      <c r="Q11" s="20">
        <f>VLOOKUP(L11,Data!$C$18:$FI$67,2+Mid!$R$3*2-2)</f>
        <v>93598</v>
      </c>
      <c r="R11" s="24">
        <f>VLOOKUP(L11,Data!$C$18:$FI$67,2+Mid!$R$3*2-1)</f>
        <v>1.5144050340157846</v>
      </c>
    </row>
    <row r="12" spans="3:18" x14ac:dyDescent="0.45">
      <c r="C12" s="19">
        <v>8</v>
      </c>
      <c r="D12" s="18">
        <v>20</v>
      </c>
      <c r="E12" s="5" t="s">
        <v>18</v>
      </c>
      <c r="F12" s="20">
        <f>VLOOKUP($D12,Data!$B$6:$FI$203,2+2*Mid!$M$3-1)</f>
        <v>266</v>
      </c>
      <c r="G12" s="23">
        <f>VLOOKUP($D12,Data!$B$6:$FI$203,2+2*Mid!$M$3)</f>
        <v>0.17376762173532448</v>
      </c>
      <c r="H12" s="20">
        <f t="shared" si="7"/>
        <v>266.00020000000001</v>
      </c>
      <c r="I12" s="23">
        <f t="shared" si="8"/>
        <v>0.17396762173532448</v>
      </c>
      <c r="J12" s="1">
        <f t="shared" si="2"/>
        <v>33</v>
      </c>
      <c r="K12" s="1">
        <f t="shared" si="3"/>
        <v>33</v>
      </c>
      <c r="L12" s="5" t="str">
        <f t="shared" si="4"/>
        <v>Sri Lanka</v>
      </c>
      <c r="M12" s="20">
        <f t="shared" si="5"/>
        <v>1576</v>
      </c>
      <c r="N12" s="24">
        <f t="shared" si="6"/>
        <v>1.0295404956950052</v>
      </c>
      <c r="Q12" s="20">
        <f>VLOOKUP(L12,Data!$C$18:$FI$67,2+Mid!$R$3*2-2)</f>
        <v>68066</v>
      </c>
      <c r="R12" s="24">
        <f>VLOOKUP(L12,Data!$C$18:$FI$67,2+Mid!$R$3*2-1)</f>
        <v>1.1013001671544094</v>
      </c>
    </row>
    <row r="13" spans="3:18" x14ac:dyDescent="0.45">
      <c r="C13" s="19">
        <v>9</v>
      </c>
      <c r="D13" s="18">
        <v>21</v>
      </c>
      <c r="E13" s="5" t="s">
        <v>19</v>
      </c>
      <c r="F13" s="20">
        <f>VLOOKUP($D13,Data!$B$6:$FI$203,2+2*Mid!$M$3-1)</f>
        <v>4449</v>
      </c>
      <c r="G13" s="23">
        <f>VLOOKUP($D13,Data!$B$6:$FI$203,2+2*Mid!$M$3)</f>
        <v>2.9063614627836789</v>
      </c>
      <c r="H13" s="20">
        <f t="shared" si="7"/>
        <v>4449.0002100000002</v>
      </c>
      <c r="I13" s="23">
        <f t="shared" si="8"/>
        <v>2.9065714627836789</v>
      </c>
      <c r="J13" s="1">
        <f t="shared" si="2"/>
        <v>4</v>
      </c>
      <c r="K13" s="1">
        <f t="shared" si="3"/>
        <v>4</v>
      </c>
      <c r="L13" s="5" t="str">
        <f t="shared" si="4"/>
        <v>South Africa</v>
      </c>
      <c r="M13" s="20">
        <f t="shared" si="5"/>
        <v>1469</v>
      </c>
      <c r="N13" s="24">
        <f t="shared" si="6"/>
        <v>0.95964148995936716</v>
      </c>
      <c r="Q13" s="20">
        <f>VLOOKUP(L13,Data!$C$18:$FI$67,2+Mid!$R$3*2-2)</f>
        <v>31274</v>
      </c>
      <c r="R13" s="24">
        <f>VLOOKUP(L13,Data!$C$18:$FI$67,2+Mid!$R$3*2-1)</f>
        <v>0.5060097762111333</v>
      </c>
    </row>
    <row r="14" spans="3:18" x14ac:dyDescent="0.45">
      <c r="C14" s="19">
        <v>10</v>
      </c>
      <c r="D14" s="18">
        <v>22</v>
      </c>
      <c r="E14" s="5" t="s">
        <v>20</v>
      </c>
      <c r="F14" s="20">
        <f>VLOOKUP($D14,Data!$B$6:$FI$203,2+2*Mid!$M$3-1)</f>
        <v>423</v>
      </c>
      <c r="G14" s="23">
        <f>VLOOKUP($D14,Data!$B$6:$FI$203,2+2*Mid!$M$3)</f>
        <v>0.27632971426331676</v>
      </c>
      <c r="H14" s="20">
        <f t="shared" si="7"/>
        <v>423.00022000000001</v>
      </c>
      <c r="I14" s="23">
        <f t="shared" si="8"/>
        <v>0.27654971426331676</v>
      </c>
      <c r="J14" s="1">
        <f t="shared" si="2"/>
        <v>23</v>
      </c>
      <c r="K14" s="1">
        <f t="shared" si="3"/>
        <v>23</v>
      </c>
      <c r="L14" s="5" t="str">
        <f t="shared" si="4"/>
        <v>Philippines</v>
      </c>
      <c r="M14" s="20">
        <f t="shared" si="5"/>
        <v>1456</v>
      </c>
      <c r="N14" s="24">
        <f t="shared" si="6"/>
        <v>0.95114908739335502</v>
      </c>
      <c r="Q14" s="20">
        <f>VLOOKUP(L14,Data!$C$18:$FI$67,2+Mid!$R$3*2-2)</f>
        <v>68463</v>
      </c>
      <c r="R14" s="24">
        <f>VLOOKUP(L14,Data!$C$18:$FI$67,2+Mid!$R$3*2-1)</f>
        <v>1.1077235821686646</v>
      </c>
    </row>
    <row r="15" spans="3:18" x14ac:dyDescent="0.45">
      <c r="C15" s="19">
        <v>11</v>
      </c>
      <c r="D15" s="18">
        <v>23</v>
      </c>
      <c r="E15" s="5" t="s">
        <v>21</v>
      </c>
      <c r="F15" s="20">
        <f>VLOOKUP($D15,Data!$B$6:$FI$203,2+2*Mid!$M$3-1)</f>
        <v>396</v>
      </c>
      <c r="G15" s="23">
        <f>VLOOKUP($D15,Data!$B$6:$FI$203,2+2*Mid!$M$3)</f>
        <v>0.25869164739544548</v>
      </c>
      <c r="H15" s="20">
        <f t="shared" si="7"/>
        <v>396.00022999999999</v>
      </c>
      <c r="I15" s="23">
        <f t="shared" si="8"/>
        <v>0.25892164739544549</v>
      </c>
      <c r="J15" s="1">
        <f t="shared" si="2"/>
        <v>24</v>
      </c>
      <c r="K15" s="1">
        <f t="shared" si="3"/>
        <v>24</v>
      </c>
      <c r="L15" s="5" t="str">
        <f t="shared" si="4"/>
        <v>Italy</v>
      </c>
      <c r="M15" s="20">
        <f t="shared" si="5"/>
        <v>1440</v>
      </c>
      <c r="N15" s="24">
        <f t="shared" si="6"/>
        <v>0.94069689961980163</v>
      </c>
      <c r="Q15" s="20">
        <f>VLOOKUP(L15,Data!$C$18:$FI$67,2+Mid!$R$3*2-2)</f>
        <v>64796</v>
      </c>
      <c r="R15" s="24">
        <f>VLOOKUP(L15,Data!$C$18:$FI$67,2+Mid!$R$3*2-1)</f>
        <v>1.0483919376919035</v>
      </c>
    </row>
    <row r="16" spans="3:18" x14ac:dyDescent="0.45">
      <c r="C16" s="19">
        <v>12</v>
      </c>
      <c r="D16" s="18">
        <v>24</v>
      </c>
      <c r="E16" s="5" t="s">
        <v>22</v>
      </c>
      <c r="F16" s="20">
        <f>VLOOKUP($D16,Data!$B$6:$FI$203,2+2*Mid!$M$3-1)</f>
        <v>6117</v>
      </c>
      <c r="G16" s="23">
        <f>VLOOKUP($D16,Data!$B$6:$FI$203,2+2*Mid!$M$3)</f>
        <v>3.9960020381766159</v>
      </c>
      <c r="H16" s="20">
        <f t="shared" si="7"/>
        <v>6117.0002400000003</v>
      </c>
      <c r="I16" s="23">
        <f t="shared" si="8"/>
        <v>3.9962420381766157</v>
      </c>
      <c r="J16" s="1">
        <f t="shared" si="2"/>
        <v>2</v>
      </c>
      <c r="K16" s="1">
        <f t="shared" si="3"/>
        <v>2</v>
      </c>
      <c r="L16" s="5" t="str">
        <f t="shared" si="4"/>
        <v>Scotland</v>
      </c>
      <c r="M16" s="20">
        <f t="shared" si="5"/>
        <v>1045</v>
      </c>
      <c r="N16" s="24">
        <f t="shared" si="6"/>
        <v>0.68265851396020327</v>
      </c>
      <c r="Q16" s="20">
        <f>VLOOKUP(L16,Data!$C$18:$FI$67,2+Mid!$R$3*2-2)</f>
        <v>25771</v>
      </c>
      <c r="R16" s="24">
        <f>VLOOKUP(L16,Data!$C$18:$FI$67,2+Mid!$R$3*2-1)</f>
        <v>0.4169718597792772</v>
      </c>
    </row>
    <row r="17" spans="3:18" x14ac:dyDescent="0.45">
      <c r="C17" s="19">
        <v>13</v>
      </c>
      <c r="D17" s="18">
        <v>25</v>
      </c>
      <c r="E17" s="5" t="s">
        <v>23</v>
      </c>
      <c r="F17" s="20">
        <f>VLOOKUP($D17,Data!$B$6:$FI$203,2+2*Mid!$M$3-1)</f>
        <v>320</v>
      </c>
      <c r="G17" s="23">
        <f>VLOOKUP($D17,Data!$B$6:$FI$203,2+2*Mid!$M$3)</f>
        <v>0.20904375547106702</v>
      </c>
      <c r="H17" s="20">
        <f t="shared" si="7"/>
        <v>320.00024999999999</v>
      </c>
      <c r="I17" s="23">
        <f t="shared" si="8"/>
        <v>0.20929375547106702</v>
      </c>
      <c r="J17" s="1">
        <f t="shared" si="2"/>
        <v>32</v>
      </c>
      <c r="K17" s="1">
        <f t="shared" si="3"/>
        <v>32</v>
      </c>
      <c r="L17" s="5" t="str">
        <f t="shared" si="4"/>
        <v>Cambodia</v>
      </c>
      <c r="M17" s="20">
        <f t="shared" si="5"/>
        <v>951</v>
      </c>
      <c r="N17" s="24">
        <f t="shared" si="6"/>
        <v>0.62125191079057729</v>
      </c>
      <c r="Q17" s="20">
        <f>VLOOKUP(L17,Data!$C$18:$FI$67,2+Mid!$R$3*2-2)</f>
        <v>16758</v>
      </c>
      <c r="R17" s="24">
        <f>VLOOKUP(L17,Data!$C$18:$FI$67,2+Mid!$R$3*2-1)</f>
        <v>0.27114254108032781</v>
      </c>
    </row>
    <row r="18" spans="3:18" x14ac:dyDescent="0.45">
      <c r="C18" s="19">
        <v>14</v>
      </c>
      <c r="D18" s="18">
        <v>26</v>
      </c>
      <c r="E18" s="5" t="s">
        <v>24</v>
      </c>
      <c r="F18" s="20">
        <f>VLOOKUP($D18,Data!$B$6:$FI$203,2+2*Mid!$M$3-1)</f>
        <v>262</v>
      </c>
      <c r="G18" s="23">
        <f>VLOOKUP($D18,Data!$B$6:$FI$203,2+2*Mid!$M$3)</f>
        <v>0.17115457479193613</v>
      </c>
      <c r="H18" s="20">
        <f t="shared" si="7"/>
        <v>262.00026000000003</v>
      </c>
      <c r="I18" s="23">
        <f t="shared" si="8"/>
        <v>0.17141457479193614</v>
      </c>
      <c r="J18" s="1">
        <f t="shared" si="2"/>
        <v>34</v>
      </c>
      <c r="K18" s="1">
        <f t="shared" si="3"/>
        <v>34</v>
      </c>
      <c r="L18" s="5" t="str">
        <f t="shared" si="4"/>
        <v>Malaysia</v>
      </c>
      <c r="M18" s="20">
        <f t="shared" si="5"/>
        <v>946</v>
      </c>
      <c r="N18" s="24">
        <f t="shared" si="6"/>
        <v>0.6179856021113419</v>
      </c>
      <c r="Q18" s="20">
        <f>VLOOKUP(L18,Data!$C$18:$FI$67,2+Mid!$R$3*2-2)</f>
        <v>62662</v>
      </c>
      <c r="R18" s="24">
        <f>VLOOKUP(L18,Data!$C$18:$FI$67,2+Mid!$R$3*2-1)</f>
        <v>1.0138640595044457</v>
      </c>
    </row>
    <row r="19" spans="3:18" x14ac:dyDescent="0.45">
      <c r="C19" s="19">
        <v>15</v>
      </c>
      <c r="D19" s="18">
        <v>27</v>
      </c>
      <c r="E19" s="5" t="s">
        <v>25</v>
      </c>
      <c r="F19" s="20">
        <f>VLOOKUP($D19,Data!$B$6:$FI$203,2+2*Mid!$M$3-1)</f>
        <v>753</v>
      </c>
      <c r="G19" s="23">
        <f>VLOOKUP($D19,Data!$B$6:$FI$203,2+2*Mid!$M$3)</f>
        <v>0.49190608709285466</v>
      </c>
      <c r="H19" s="20">
        <f t="shared" si="7"/>
        <v>753.00027</v>
      </c>
      <c r="I19" s="23">
        <f t="shared" si="8"/>
        <v>0.49217608709285465</v>
      </c>
      <c r="J19" s="1">
        <f t="shared" si="2"/>
        <v>16</v>
      </c>
      <c r="K19" s="1">
        <f t="shared" si="3"/>
        <v>16</v>
      </c>
      <c r="L19" s="5" t="str">
        <f t="shared" si="4"/>
        <v>Ireland</v>
      </c>
      <c r="M19" s="20">
        <f t="shared" si="5"/>
        <v>792</v>
      </c>
      <c r="N19" s="24">
        <f t="shared" si="6"/>
        <v>0.51738329479089096</v>
      </c>
      <c r="Q19" s="20">
        <f>VLOOKUP(L19,Data!$C$18:$FI$67,2+Mid!$R$3*2-2)</f>
        <v>17456</v>
      </c>
      <c r="R19" s="24">
        <f>VLOOKUP(L19,Data!$C$18:$FI$67,2+Mid!$R$3*2-1)</f>
        <v>0.28243610198700336</v>
      </c>
    </row>
    <row r="20" spans="3:18" x14ac:dyDescent="0.45">
      <c r="C20" s="19">
        <v>16</v>
      </c>
      <c r="D20" s="18">
        <v>28</v>
      </c>
      <c r="E20" s="5" t="s">
        <v>26</v>
      </c>
      <c r="F20" s="20">
        <f>VLOOKUP($D20,Data!$B$6:$FI$203,2+2*Mid!$M$3-1)</f>
        <v>2962</v>
      </c>
      <c r="G20" s="23">
        <f>VLOOKUP($D20,Data!$B$6:$FI$203,2+2*Mid!$M$3)</f>
        <v>1.9349612615790643</v>
      </c>
      <c r="H20" s="20">
        <f t="shared" si="7"/>
        <v>2962.0002800000002</v>
      </c>
      <c r="I20" s="23">
        <f t="shared" si="8"/>
        <v>1.9352412615790644</v>
      </c>
      <c r="J20" s="1">
        <f t="shared" si="2"/>
        <v>5</v>
      </c>
      <c r="K20" s="1">
        <f t="shared" si="3"/>
        <v>5</v>
      </c>
      <c r="L20" s="5" t="str">
        <f t="shared" si="4"/>
        <v>Germany</v>
      </c>
      <c r="M20" s="20">
        <f t="shared" si="5"/>
        <v>753</v>
      </c>
      <c r="N20" s="24">
        <f t="shared" si="6"/>
        <v>0.49190608709285466</v>
      </c>
      <c r="Q20" s="20">
        <f>VLOOKUP(L20,Data!$C$18:$FI$67,2+Mid!$R$3*2-2)</f>
        <v>25365</v>
      </c>
      <c r="R20" s="24">
        <f>VLOOKUP(L20,Data!$C$18:$FI$67,2+Mid!$R$3*2-1)</f>
        <v>0.41040282578484988</v>
      </c>
    </row>
    <row r="21" spans="3:18" x14ac:dyDescent="0.45">
      <c r="C21" s="19">
        <v>17</v>
      </c>
      <c r="D21" s="18">
        <v>29</v>
      </c>
      <c r="E21" s="5" t="s">
        <v>27</v>
      </c>
      <c r="F21" s="20">
        <f>VLOOKUP($D21,Data!$B$6:$FI$203,2+2*Mid!$M$3-1)</f>
        <v>500</v>
      </c>
      <c r="G21" s="23">
        <f>VLOOKUP($D21,Data!$B$6:$FI$203,2+2*Mid!$M$3)</f>
        <v>0.32663086792354223</v>
      </c>
      <c r="H21" s="20">
        <f t="shared" si="7"/>
        <v>500.00029000000001</v>
      </c>
      <c r="I21" s="23">
        <f t="shared" si="8"/>
        <v>0.32692086792354225</v>
      </c>
      <c r="J21" s="1">
        <f t="shared" si="2"/>
        <v>22</v>
      </c>
      <c r="K21" s="1">
        <f t="shared" si="3"/>
        <v>22</v>
      </c>
      <c r="L21" s="5" t="str">
        <f t="shared" si="4"/>
        <v>Mauritius</v>
      </c>
      <c r="M21" s="20">
        <f t="shared" si="5"/>
        <v>665</v>
      </c>
      <c r="N21" s="24">
        <f t="shared" si="6"/>
        <v>0.43441905433831113</v>
      </c>
      <c r="Q21" s="20">
        <f>VLOOKUP(L21,Data!$C$18:$FI$67,2+Mid!$R$3*2-2)</f>
        <v>12341</v>
      </c>
      <c r="R21" s="24">
        <f>VLOOKUP(L21,Data!$C$18:$FI$67,2+Mid!$R$3*2-1)</f>
        <v>0.19967598158923053</v>
      </c>
    </row>
    <row r="22" spans="3:18" x14ac:dyDescent="0.45">
      <c r="C22" s="19">
        <v>18</v>
      </c>
      <c r="D22" s="18">
        <v>30</v>
      </c>
      <c r="E22" s="5" t="s">
        <v>28</v>
      </c>
      <c r="F22" s="20">
        <f>VLOOKUP($D22,Data!$B$6:$FI$203,2+2*Mid!$M$3-1)</f>
        <v>5712</v>
      </c>
      <c r="G22" s="23">
        <f>VLOOKUP($D22,Data!$B$6:$FI$203,2+2*Mid!$M$3)</f>
        <v>3.7314310351585465</v>
      </c>
      <c r="H22" s="20">
        <f t="shared" si="7"/>
        <v>5712.0002999999997</v>
      </c>
      <c r="I22" s="23">
        <f t="shared" si="8"/>
        <v>3.7317310351585466</v>
      </c>
      <c r="J22" s="1">
        <f t="shared" si="2"/>
        <v>3</v>
      </c>
      <c r="K22" s="1">
        <f t="shared" si="3"/>
        <v>3</v>
      </c>
      <c r="L22" s="5" t="str">
        <f t="shared" si="4"/>
        <v>USA</v>
      </c>
      <c r="M22" s="20">
        <f t="shared" si="5"/>
        <v>656</v>
      </c>
      <c r="N22" s="24">
        <f t="shared" si="6"/>
        <v>0.42853969871568742</v>
      </c>
      <c r="Q22" s="20">
        <f>VLOOKUP(L22,Data!$C$18:$FI$67,2+Mid!$R$3*2-2)</f>
        <v>23964</v>
      </c>
      <c r="R22" s="24">
        <f>VLOOKUP(L22,Data!$C$18:$FI$67,2+Mid!$R$3*2-1)</f>
        <v>0.38773480453806991</v>
      </c>
    </row>
    <row r="23" spans="3:18" x14ac:dyDescent="0.45">
      <c r="C23" s="19">
        <v>19</v>
      </c>
      <c r="D23" s="18">
        <v>31</v>
      </c>
      <c r="E23" s="5" t="s">
        <v>29</v>
      </c>
      <c r="F23" s="20">
        <f>VLOOKUP($D23,Data!$B$6:$FI$203,2+2*Mid!$M$3-1)</f>
        <v>335</v>
      </c>
      <c r="G23" s="23">
        <f>VLOOKUP($D23,Data!$B$6:$FI$203,2+2*Mid!$M$3)</f>
        <v>0.21884268150877331</v>
      </c>
      <c r="H23" s="20">
        <f t="shared" si="7"/>
        <v>335.00031000000001</v>
      </c>
      <c r="I23" s="23">
        <f t="shared" si="8"/>
        <v>0.21915268150877332</v>
      </c>
      <c r="J23" s="1">
        <f t="shared" si="2"/>
        <v>31</v>
      </c>
      <c r="K23" s="1">
        <f t="shared" si="3"/>
        <v>31</v>
      </c>
      <c r="L23" s="5" t="str">
        <f t="shared" si="4"/>
        <v>Poland</v>
      </c>
      <c r="M23" s="20">
        <f t="shared" si="5"/>
        <v>638</v>
      </c>
      <c r="N23" s="24">
        <f t="shared" si="6"/>
        <v>0.4167809874704399</v>
      </c>
      <c r="Q23" s="20">
        <f>VLOOKUP(L23,Data!$C$18:$FI$67,2+Mid!$R$3*2-2)</f>
        <v>14202</v>
      </c>
      <c r="R23" s="24">
        <f>VLOOKUP(L23,Data!$C$18:$FI$67,2+Mid!$R$3*2-1)</f>
        <v>0.22978675071147009</v>
      </c>
    </row>
    <row r="24" spans="3:18" x14ac:dyDescent="0.45">
      <c r="C24" s="19">
        <v>20</v>
      </c>
      <c r="D24" s="18">
        <v>32</v>
      </c>
      <c r="E24" s="5" t="s">
        <v>30</v>
      </c>
      <c r="F24" s="20">
        <f>VLOOKUP($D24,Data!$B$6:$FI$203,2+2*Mid!$M$3-1)</f>
        <v>212</v>
      </c>
      <c r="G24" s="23">
        <f>VLOOKUP($D24,Data!$B$6:$FI$203,2+2*Mid!$M$3)</f>
        <v>0.13849148799958191</v>
      </c>
      <c r="H24" s="20">
        <f t="shared" si="7"/>
        <v>212.00031999999999</v>
      </c>
      <c r="I24" s="23">
        <f t="shared" si="8"/>
        <v>0.1388114879995819</v>
      </c>
      <c r="J24" s="1">
        <f t="shared" si="2"/>
        <v>38</v>
      </c>
      <c r="K24" s="1">
        <f t="shared" si="3"/>
        <v>38</v>
      </c>
      <c r="L24" s="5" t="str">
        <f t="shared" si="4"/>
        <v>Turkey</v>
      </c>
      <c r="M24" s="20">
        <f t="shared" si="5"/>
        <v>600</v>
      </c>
      <c r="N24" s="24">
        <f t="shared" si="6"/>
        <v>0.39195704150825073</v>
      </c>
      <c r="Q24" s="20">
        <f>VLOOKUP(L24,Data!$C$18:$FI$67,2+Mid!$R$3*2-2)</f>
        <v>18689</v>
      </c>
      <c r="R24" s="24">
        <f>VLOOKUP(L24,Data!$C$18:$FI$67,2+Mid!$R$3*2-1)</f>
        <v>0.30238590227057205</v>
      </c>
    </row>
    <row r="25" spans="3:18" x14ac:dyDescent="0.45">
      <c r="C25" s="19">
        <v>21</v>
      </c>
      <c r="D25" s="18">
        <v>33</v>
      </c>
      <c r="E25" s="5" t="s">
        <v>31</v>
      </c>
      <c r="F25" s="20">
        <f>VLOOKUP($D25,Data!$B$6:$FI$203,2+2*Mid!$M$3-1)</f>
        <v>105</v>
      </c>
      <c r="G25" s="23">
        <f>VLOOKUP($D25,Data!$B$6:$FI$203,2+2*Mid!$M$3)</f>
        <v>6.8592482263943877E-2</v>
      </c>
      <c r="H25" s="20">
        <f t="shared" si="7"/>
        <v>105.00033000000001</v>
      </c>
      <c r="I25" s="23">
        <f t="shared" si="8"/>
        <v>6.8922482263943874E-2</v>
      </c>
      <c r="J25" s="1">
        <f t="shared" si="2"/>
        <v>45</v>
      </c>
      <c r="K25" s="1">
        <f t="shared" si="3"/>
        <v>45</v>
      </c>
      <c r="L25" s="5" t="str">
        <f t="shared" si="4"/>
        <v>Thailand</v>
      </c>
      <c r="M25" s="20">
        <f t="shared" si="5"/>
        <v>511</v>
      </c>
      <c r="N25" s="24">
        <f t="shared" si="6"/>
        <v>0.33381674701786018</v>
      </c>
      <c r="Q25" s="20">
        <f>VLOOKUP(L25,Data!$C$18:$FI$67,2+Mid!$R$3*2-2)</f>
        <v>21059</v>
      </c>
      <c r="R25" s="24">
        <f>VLOOKUP(L25,Data!$C$18:$FI$67,2+Mid!$R$3*2-1)</f>
        <v>0.34073223371587441</v>
      </c>
    </row>
    <row r="26" spans="3:18" x14ac:dyDescent="0.45">
      <c r="C26" s="19">
        <v>22</v>
      </c>
      <c r="D26" s="18">
        <v>34</v>
      </c>
      <c r="E26" s="5" t="s">
        <v>32</v>
      </c>
      <c r="F26" s="20">
        <f>VLOOKUP($D26,Data!$B$6:$FI$203,2+2*Mid!$M$3-1)</f>
        <v>792</v>
      </c>
      <c r="G26" s="23">
        <f>VLOOKUP($D26,Data!$B$6:$FI$203,2+2*Mid!$M$3)</f>
        <v>0.51738329479089096</v>
      </c>
      <c r="H26" s="20">
        <f t="shared" si="7"/>
        <v>792.00034000000005</v>
      </c>
      <c r="I26" s="23">
        <f t="shared" si="8"/>
        <v>0.51772329479089096</v>
      </c>
      <c r="J26" s="1">
        <f t="shared" si="2"/>
        <v>15</v>
      </c>
      <c r="K26" s="1">
        <f t="shared" si="3"/>
        <v>15</v>
      </c>
      <c r="L26" s="5" t="str">
        <f t="shared" si="4"/>
        <v>Hong Kong</v>
      </c>
      <c r="M26" s="20">
        <f t="shared" si="5"/>
        <v>500</v>
      </c>
      <c r="N26" s="24">
        <f t="shared" si="6"/>
        <v>0.32663086792354223</v>
      </c>
      <c r="Q26" s="20">
        <f>VLOOKUP(L26,Data!$C$18:$FI$67,2+Mid!$R$3*2-2)</f>
        <v>25324</v>
      </c>
      <c r="R26" s="24">
        <f>VLOOKUP(L26,Data!$C$18:$FI$67,2+Mid!$R$3*2-1)</f>
        <v>0.40973945043073284</v>
      </c>
    </row>
    <row r="27" spans="3:18" x14ac:dyDescent="0.45">
      <c r="C27" s="19">
        <v>23</v>
      </c>
      <c r="D27" s="18">
        <v>35</v>
      </c>
      <c r="E27" s="5" t="s">
        <v>33</v>
      </c>
      <c r="F27" s="20">
        <f>VLOOKUP($D27,Data!$B$6:$FI$203,2+2*Mid!$M$3-1)</f>
        <v>1440</v>
      </c>
      <c r="G27" s="23">
        <f>VLOOKUP($D27,Data!$B$6:$FI$203,2+2*Mid!$M$3)</f>
        <v>0.94069689961980163</v>
      </c>
      <c r="H27" s="20">
        <f t="shared" si="7"/>
        <v>1440.00035</v>
      </c>
      <c r="I27" s="23">
        <f t="shared" si="8"/>
        <v>0.94104689961980159</v>
      </c>
      <c r="J27" s="1">
        <f t="shared" si="2"/>
        <v>11</v>
      </c>
      <c r="K27" s="1">
        <f t="shared" si="3"/>
        <v>11</v>
      </c>
      <c r="L27" s="5" t="str">
        <f t="shared" si="4"/>
        <v>Croatia</v>
      </c>
      <c r="M27" s="20">
        <f t="shared" si="5"/>
        <v>423</v>
      </c>
      <c r="N27" s="24">
        <f t="shared" si="6"/>
        <v>0.27632971426331676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45">
      <c r="C28" s="19">
        <v>24</v>
      </c>
      <c r="D28" s="18">
        <v>36</v>
      </c>
      <c r="E28" s="5" t="s">
        <v>34</v>
      </c>
      <c r="F28" s="20">
        <f>VLOOKUP($D28,Data!$B$6:$FI$203,2+2*Mid!$M$3-1)</f>
        <v>355</v>
      </c>
      <c r="G28" s="23">
        <f>VLOOKUP($D28,Data!$B$6:$FI$203,2+2*Mid!$M$3)</f>
        <v>0.23190791622571499</v>
      </c>
      <c r="H28" s="20">
        <f t="shared" si="7"/>
        <v>355.00036</v>
      </c>
      <c r="I28" s="23">
        <f t="shared" si="8"/>
        <v>0.23226791622571499</v>
      </c>
      <c r="J28" s="1">
        <f t="shared" si="2"/>
        <v>28</v>
      </c>
      <c r="K28" s="1">
        <f t="shared" si="3"/>
        <v>28</v>
      </c>
      <c r="L28" s="5" t="str">
        <f t="shared" si="4"/>
        <v>Egypt</v>
      </c>
      <c r="M28" s="20">
        <f t="shared" si="5"/>
        <v>396</v>
      </c>
      <c r="N28" s="24">
        <f t="shared" si="6"/>
        <v>0.25869164739544548</v>
      </c>
      <c r="Q28" s="20">
        <f>VLOOKUP(L28,Data!$C$18:$FI$67,2+Mid!$R$3*2-2)</f>
        <v>14085</v>
      </c>
      <c r="R28" s="24">
        <f>VLOOKUP(L28,Data!$C$18:$FI$67,2+Mid!$R$3*2-1)</f>
        <v>0.22789370396923361</v>
      </c>
    </row>
    <row r="29" spans="3:18" x14ac:dyDescent="0.45">
      <c r="C29" s="19">
        <v>25</v>
      </c>
      <c r="D29" s="18">
        <v>37</v>
      </c>
      <c r="E29" s="5" t="s">
        <v>35</v>
      </c>
      <c r="F29" s="20">
        <f>VLOOKUP($D29,Data!$B$6:$FI$203,2+2*Mid!$M$3-1)</f>
        <v>361</v>
      </c>
      <c r="G29" s="23">
        <f>VLOOKUP($D29,Data!$B$6:$FI$203,2+2*Mid!$M$3)</f>
        <v>0.2358274866407975</v>
      </c>
      <c r="H29" s="20">
        <f t="shared" si="7"/>
        <v>361.00036999999998</v>
      </c>
      <c r="I29" s="23">
        <f t="shared" si="8"/>
        <v>0.23619748664079751</v>
      </c>
      <c r="J29" s="1">
        <f t="shared" si="2"/>
        <v>26</v>
      </c>
      <c r="K29" s="1">
        <f t="shared" si="3"/>
        <v>26</v>
      </c>
      <c r="L29" s="5" t="str">
        <f t="shared" si="4"/>
        <v>Netherlands</v>
      </c>
      <c r="M29" s="20">
        <f t="shared" si="5"/>
        <v>378</v>
      </c>
      <c r="N29" s="24">
        <f t="shared" si="6"/>
        <v>0.24693293615019796</v>
      </c>
      <c r="Q29" s="20">
        <f>VLOOKUP(L29,Data!$C$18:$FI$67,2+Mid!$R$3*2-2)</f>
        <v>18477</v>
      </c>
      <c r="R29" s="24">
        <f>VLOOKUP(L29,Data!$C$18:$FI$67,2+Mid!$R$3*2-1)</f>
        <v>0.29895576629318632</v>
      </c>
    </row>
    <row r="30" spans="3:18" x14ac:dyDescent="0.45">
      <c r="C30" s="19">
        <v>26</v>
      </c>
      <c r="D30" s="18">
        <v>38</v>
      </c>
      <c r="E30" s="5" t="s">
        <v>36</v>
      </c>
      <c r="F30" s="20">
        <f>VLOOKUP($D30,Data!$B$6:$FI$203,2+2*Mid!$M$3-1)</f>
        <v>340</v>
      </c>
      <c r="G30" s="23">
        <f>VLOOKUP($D30,Data!$B$6:$FI$203,2+2*Mid!$M$3)</f>
        <v>0.22210899018800875</v>
      </c>
      <c r="H30" s="20">
        <f t="shared" si="7"/>
        <v>340.00038000000001</v>
      </c>
      <c r="I30" s="23">
        <f t="shared" si="8"/>
        <v>0.22248899018800875</v>
      </c>
      <c r="J30" s="1">
        <f t="shared" si="2"/>
        <v>30</v>
      </c>
      <c r="K30" s="1">
        <f t="shared" si="3"/>
        <v>30</v>
      </c>
      <c r="L30" s="5" t="str">
        <f t="shared" si="4"/>
        <v>Korea, South</v>
      </c>
      <c r="M30" s="20">
        <f t="shared" si="5"/>
        <v>361</v>
      </c>
      <c r="N30" s="24">
        <f t="shared" si="6"/>
        <v>0.2358274866407975</v>
      </c>
      <c r="Q30" s="20">
        <f>VLOOKUP(L30,Data!$C$18:$FI$67,2+Mid!$R$3*2-2)</f>
        <v>15429</v>
      </c>
      <c r="R30" s="24">
        <f>VLOOKUP(L30,Data!$C$18:$FI$67,2+Mid!$R$3*2-1)</f>
        <v>0.24963947167492406</v>
      </c>
    </row>
    <row r="31" spans="3:18" x14ac:dyDescent="0.45">
      <c r="C31" s="19">
        <v>27</v>
      </c>
      <c r="D31" s="18">
        <v>39</v>
      </c>
      <c r="E31" s="5" t="s">
        <v>37</v>
      </c>
      <c r="F31" s="20">
        <f>VLOOKUP($D31,Data!$B$6:$FI$203,2+2*Mid!$M$3-1)</f>
        <v>946</v>
      </c>
      <c r="G31" s="23">
        <f>VLOOKUP($D31,Data!$B$6:$FI$203,2+2*Mid!$M$3)</f>
        <v>0.6179856021113419</v>
      </c>
      <c r="H31" s="20">
        <f t="shared" si="7"/>
        <v>946.00039000000004</v>
      </c>
      <c r="I31" s="23">
        <f t="shared" si="8"/>
        <v>0.6183756021113419</v>
      </c>
      <c r="J31" s="1">
        <f t="shared" si="2"/>
        <v>14</v>
      </c>
      <c r="K31" s="1">
        <f t="shared" si="3"/>
        <v>14</v>
      </c>
      <c r="L31" s="5" t="str">
        <f t="shared" si="4"/>
        <v>Canada</v>
      </c>
      <c r="M31" s="20">
        <f t="shared" si="5"/>
        <v>360</v>
      </c>
      <c r="N31" s="24">
        <f t="shared" si="6"/>
        <v>0.23517422490495041</v>
      </c>
      <c r="Q31" s="20">
        <f>VLOOKUP(L31,Data!$C$18:$FI$67,2+Mid!$R$3*2-2)</f>
        <v>10438</v>
      </c>
      <c r="R31" s="24">
        <f>VLOOKUP(L31,Data!$C$18:$FI$67,2+Mid!$R$3*2-1)</f>
        <v>0.16888565722618817</v>
      </c>
    </row>
    <row r="32" spans="3:18" x14ac:dyDescent="0.45">
      <c r="C32" s="19">
        <v>28</v>
      </c>
      <c r="D32" s="18">
        <v>40</v>
      </c>
      <c r="E32" s="5" t="s">
        <v>38</v>
      </c>
      <c r="F32" s="20">
        <f>VLOOKUP($D32,Data!$B$6:$FI$203,2+2*Mid!$M$3-1)</f>
        <v>146</v>
      </c>
      <c r="G32" s="23">
        <f>VLOOKUP($D32,Data!$B$6:$FI$203,2+2*Mid!$M$3)</f>
        <v>9.5376213433674334E-2</v>
      </c>
      <c r="H32" s="20">
        <f t="shared" si="7"/>
        <v>146.00040000000001</v>
      </c>
      <c r="I32" s="23">
        <f t="shared" si="8"/>
        <v>9.5776213433674331E-2</v>
      </c>
      <c r="J32" s="1">
        <f t="shared" si="2"/>
        <v>43</v>
      </c>
      <c r="K32" s="1">
        <f t="shared" si="3"/>
        <v>43</v>
      </c>
      <c r="L32" s="5" t="str">
        <f t="shared" si="4"/>
        <v>Japan</v>
      </c>
      <c r="M32" s="20">
        <f t="shared" si="5"/>
        <v>355</v>
      </c>
      <c r="N32" s="24">
        <f t="shared" si="6"/>
        <v>0.23190791622571499</v>
      </c>
      <c r="Q32" s="20">
        <f>VLOOKUP(L32,Data!$C$18:$FI$67,2+Mid!$R$3*2-2)</f>
        <v>9251</v>
      </c>
      <c r="R32" s="24">
        <f>VLOOKUP(L32,Data!$C$18:$FI$67,2+Mid!$R$3*2-1)</f>
        <v>0.14968013173016545</v>
      </c>
    </row>
    <row r="33" spans="3:18" x14ac:dyDescent="0.45">
      <c r="C33" s="19">
        <v>29</v>
      </c>
      <c r="D33" s="18">
        <v>41</v>
      </c>
      <c r="E33" s="5" t="s">
        <v>39</v>
      </c>
      <c r="F33" s="20">
        <f>VLOOKUP($D33,Data!$B$6:$FI$203,2+2*Mid!$M$3-1)</f>
        <v>665</v>
      </c>
      <c r="G33" s="23">
        <f>VLOOKUP($D33,Data!$B$6:$FI$203,2+2*Mid!$M$3)</f>
        <v>0.43441905433831113</v>
      </c>
      <c r="H33" s="20">
        <f t="shared" si="7"/>
        <v>665.00040999999999</v>
      </c>
      <c r="I33" s="23">
        <f t="shared" si="8"/>
        <v>0.43482905433831115</v>
      </c>
      <c r="J33" s="1">
        <f t="shared" si="2"/>
        <v>17</v>
      </c>
      <c r="K33" s="1">
        <f t="shared" si="3"/>
        <v>17</v>
      </c>
      <c r="L33" s="5" t="str">
        <f t="shared" si="4"/>
        <v>Singapore</v>
      </c>
      <c r="M33" s="20">
        <f t="shared" si="5"/>
        <v>342</v>
      </c>
      <c r="N33" s="24">
        <f t="shared" si="6"/>
        <v>0.22341551365970291</v>
      </c>
      <c r="Q33" s="20">
        <f>VLOOKUP(L33,Data!$C$18:$FI$67,2+Mid!$R$3*2-2)</f>
        <v>17954</v>
      </c>
      <c r="R33" s="24">
        <f>VLOOKUP(L33,Data!$C$18:$FI$67,2+Mid!$R$3*2-1)</f>
        <v>0.29049368555652255</v>
      </c>
    </row>
    <row r="34" spans="3:18" x14ac:dyDescent="0.45">
      <c r="C34" s="19">
        <v>30</v>
      </c>
      <c r="D34" s="18">
        <v>42</v>
      </c>
      <c r="E34" s="5" t="s">
        <v>40</v>
      </c>
      <c r="F34" s="20">
        <f>VLOOKUP($D34,Data!$B$6:$FI$203,2+2*Mid!$M$3-1)</f>
        <v>96</v>
      </c>
      <c r="G34" s="23">
        <f>VLOOKUP($D34,Data!$B$6:$FI$203,2+2*Mid!$M$3)</f>
        <v>6.2713126641320116E-2</v>
      </c>
      <c r="H34" s="20">
        <f t="shared" si="7"/>
        <v>96.000420000000005</v>
      </c>
      <c r="I34" s="23">
        <f t="shared" si="8"/>
        <v>6.313312664132012E-2</v>
      </c>
      <c r="J34" s="1">
        <f t="shared" si="2"/>
        <v>46</v>
      </c>
      <c r="K34" s="1">
        <f t="shared" si="3"/>
        <v>46</v>
      </c>
      <c r="L34" s="5" t="str">
        <f t="shared" si="4"/>
        <v>Lebanon</v>
      </c>
      <c r="M34" s="20">
        <f t="shared" si="5"/>
        <v>340</v>
      </c>
      <c r="N34" s="24">
        <f t="shared" si="6"/>
        <v>0.22210899018800875</v>
      </c>
      <c r="Q34" s="20">
        <f>VLOOKUP(L34,Data!$C$18:$FI$67,2+Mid!$R$3*2-2)</f>
        <v>18689</v>
      </c>
      <c r="R34" s="24">
        <f>VLOOKUP(L34,Data!$C$18:$FI$67,2+Mid!$R$3*2-1)</f>
        <v>0.30238590227057205</v>
      </c>
    </row>
    <row r="35" spans="3:18" x14ac:dyDescent="0.45">
      <c r="C35" s="19">
        <v>31</v>
      </c>
      <c r="D35" s="18">
        <v>43</v>
      </c>
      <c r="E35" s="5" t="s">
        <v>41</v>
      </c>
      <c r="F35" s="20">
        <f>VLOOKUP($D35,Data!$B$6:$FI$203,2+2*Mid!$M$3-1)</f>
        <v>240</v>
      </c>
      <c r="G35" s="23">
        <f>VLOOKUP($D35,Data!$B$6:$FI$203,2+2*Mid!$M$3)</f>
        <v>0.15678281660330026</v>
      </c>
      <c r="H35" s="20">
        <f t="shared" si="7"/>
        <v>240.00042999999999</v>
      </c>
      <c r="I35" s="23">
        <f t="shared" si="8"/>
        <v>0.15721281660330028</v>
      </c>
      <c r="J35" s="1">
        <f t="shared" si="2"/>
        <v>35</v>
      </c>
      <c r="K35" s="1">
        <f t="shared" si="3"/>
        <v>35</v>
      </c>
      <c r="L35" s="5" t="str">
        <f t="shared" si="4"/>
        <v>Indonesia</v>
      </c>
      <c r="M35" s="20">
        <f t="shared" si="5"/>
        <v>335</v>
      </c>
      <c r="N35" s="24">
        <f t="shared" si="6"/>
        <v>0.21884268150877331</v>
      </c>
      <c r="Q35" s="20">
        <f>VLOOKUP(L35,Data!$C$18:$FI$67,2+Mid!$R$3*2-2)</f>
        <v>20643</v>
      </c>
      <c r="R35" s="24">
        <f>VLOOKUP(L35,Data!$C$18:$FI$67,2+Mid!$R$3*2-1)</f>
        <v>0.33400140085458924</v>
      </c>
    </row>
    <row r="36" spans="3:18" x14ac:dyDescent="0.45">
      <c r="C36" s="19">
        <v>32</v>
      </c>
      <c r="D36" s="18">
        <v>44</v>
      </c>
      <c r="E36" s="5" t="s">
        <v>42</v>
      </c>
      <c r="F36" s="20">
        <f>VLOOKUP($D36,Data!$B$6:$FI$203,2+2*Mid!$M$3-1)</f>
        <v>378</v>
      </c>
      <c r="G36" s="23">
        <f>VLOOKUP($D36,Data!$B$6:$FI$203,2+2*Mid!$M$3)</f>
        <v>0.24693293615019796</v>
      </c>
      <c r="H36" s="20">
        <f t="shared" si="7"/>
        <v>378.00044000000003</v>
      </c>
      <c r="I36" s="23">
        <f t="shared" si="8"/>
        <v>0.24737293615019795</v>
      </c>
      <c r="J36" s="1">
        <f t="shared" si="2"/>
        <v>25</v>
      </c>
      <c r="K36" s="1">
        <f t="shared" si="3"/>
        <v>25</v>
      </c>
      <c r="L36" s="5" t="str">
        <f t="shared" si="4"/>
        <v>Fiji</v>
      </c>
      <c r="M36" s="20">
        <f t="shared" si="5"/>
        <v>320</v>
      </c>
      <c r="N36" s="24">
        <f t="shared" si="6"/>
        <v>0.20904375547106702</v>
      </c>
      <c r="Q36" s="20">
        <f>VLOOKUP(L36,Data!$C$18:$FI$67,2+Mid!$R$3*2-2)</f>
        <v>12435</v>
      </c>
      <c r="R36" s="24">
        <f>VLOOKUP(L36,Data!$C$18:$FI$67,2+Mid!$R$3*2-1)</f>
        <v>0.201196890937694</v>
      </c>
    </row>
    <row r="37" spans="3:18" x14ac:dyDescent="0.45">
      <c r="C37" s="19">
        <v>33</v>
      </c>
      <c r="D37" s="18">
        <v>45</v>
      </c>
      <c r="E37" s="5" t="s">
        <v>43</v>
      </c>
      <c r="F37" s="20">
        <f>VLOOKUP($D37,Data!$B$6:$FI$203,2+2*Mid!$M$3-1)</f>
        <v>2369</v>
      </c>
      <c r="G37" s="23">
        <f>VLOOKUP($D37,Data!$B$6:$FI$203,2+2*Mid!$M$3)</f>
        <v>1.5475770522217431</v>
      </c>
      <c r="H37" s="20">
        <f t="shared" si="7"/>
        <v>2369.00045</v>
      </c>
      <c r="I37" s="23">
        <f t="shared" si="8"/>
        <v>1.5480270522217432</v>
      </c>
      <c r="J37" s="1">
        <f t="shared" si="2"/>
        <v>6</v>
      </c>
      <c r="K37" s="1">
        <f t="shared" si="3"/>
        <v>6</v>
      </c>
      <c r="L37" s="5" t="str">
        <f t="shared" si="4"/>
        <v>Chile</v>
      </c>
      <c r="M37" s="20">
        <f t="shared" si="5"/>
        <v>266</v>
      </c>
      <c r="N37" s="24">
        <f t="shared" si="6"/>
        <v>0.17376762173532448</v>
      </c>
      <c r="Q37" s="20">
        <f>VLOOKUP(L37,Data!$C$18:$FI$67,2+Mid!$R$3*2-2)</f>
        <v>8296</v>
      </c>
      <c r="R37" s="24">
        <f>VLOOKUP(L37,Data!$C$18:$FI$67,2+Mid!$R$3*2-1)</f>
        <v>0.13422833994524402</v>
      </c>
    </row>
    <row r="38" spans="3:18" x14ac:dyDescent="0.45">
      <c r="C38" s="19">
        <v>34</v>
      </c>
      <c r="D38" s="18">
        <v>46</v>
      </c>
      <c r="E38" s="5" t="s">
        <v>44</v>
      </c>
      <c r="F38" s="20">
        <f>VLOOKUP($D38,Data!$B$6:$FI$203,2+2*Mid!$M$3-1)</f>
        <v>81</v>
      </c>
      <c r="G38" s="23">
        <f>VLOOKUP($D38,Data!$B$6:$FI$203,2+2*Mid!$M$3)</f>
        <v>5.2914200603613841E-2</v>
      </c>
      <c r="H38" s="20">
        <f t="shared" si="7"/>
        <v>81.000460000000004</v>
      </c>
      <c r="I38" s="23">
        <f t="shared" si="8"/>
        <v>5.3374200603613843E-2</v>
      </c>
      <c r="J38" s="1">
        <f t="shared" si="2"/>
        <v>48</v>
      </c>
      <c r="K38" s="1">
        <f t="shared" si="3"/>
        <v>48</v>
      </c>
      <c r="L38" s="5" t="str">
        <f t="shared" si="4"/>
        <v>France</v>
      </c>
      <c r="M38" s="20">
        <f t="shared" si="5"/>
        <v>262</v>
      </c>
      <c r="N38" s="24">
        <f t="shared" si="6"/>
        <v>0.17115457479193613</v>
      </c>
      <c r="Q38" s="20">
        <f>VLOOKUP(L38,Data!$C$18:$FI$67,2+Mid!$R$3*2-2)</f>
        <v>8073</v>
      </c>
      <c r="R38" s="24">
        <f>VLOOKUP(L38,Data!$C$18:$FI$67,2+Mid!$R$3*2-1)</f>
        <v>0.13062022521431474</v>
      </c>
    </row>
    <row r="39" spans="3:18" x14ac:dyDescent="0.45">
      <c r="C39" s="19">
        <v>35</v>
      </c>
      <c r="D39" s="18">
        <v>47</v>
      </c>
      <c r="E39" s="5" t="s">
        <v>45</v>
      </c>
      <c r="F39" s="20">
        <f>VLOOKUP($D39,Data!$B$6:$FI$203,2+2*Mid!$M$3-1)</f>
        <v>209</v>
      </c>
      <c r="G39" s="23">
        <f>VLOOKUP($D39,Data!$B$6:$FI$203,2+2*Mid!$M$3)</f>
        <v>0.13653170279204066</v>
      </c>
      <c r="H39" s="20">
        <f t="shared" si="7"/>
        <v>209.00047000000001</v>
      </c>
      <c r="I39" s="23">
        <f t="shared" si="8"/>
        <v>0.13700170279204066</v>
      </c>
      <c r="J39" s="1">
        <f t="shared" si="2"/>
        <v>39</v>
      </c>
      <c r="K39" s="1">
        <f t="shared" si="3"/>
        <v>39</v>
      </c>
      <c r="L39" s="5" t="str">
        <f t="shared" si="4"/>
        <v>Nepal</v>
      </c>
      <c r="M39" s="20">
        <f t="shared" si="5"/>
        <v>240</v>
      </c>
      <c r="N39" s="24">
        <f t="shared" si="6"/>
        <v>0.15678281660330026</v>
      </c>
      <c r="Q39" s="20">
        <f>VLOOKUP(L39,Data!$C$18:$FI$67,2+Mid!$R$3*2-2)</f>
        <v>20154</v>
      </c>
      <c r="R39" s="24">
        <f>VLOOKUP(L39,Data!$C$18:$FI$67,2+Mid!$R$3*2-1)</f>
        <v>0.32608943626524206</v>
      </c>
    </row>
    <row r="40" spans="3:18" x14ac:dyDescent="0.45">
      <c r="C40" s="19">
        <v>36</v>
      </c>
      <c r="D40" s="18">
        <v>48</v>
      </c>
      <c r="E40" s="5" t="s">
        <v>46</v>
      </c>
      <c r="F40" s="20">
        <f>VLOOKUP($D40,Data!$B$6:$FI$203,2+2*Mid!$M$3-1)</f>
        <v>85</v>
      </c>
      <c r="G40" s="23">
        <f>VLOOKUP($D40,Data!$B$6:$FI$203,2+2*Mid!$M$3)</f>
        <v>5.5527247547002188E-2</v>
      </c>
      <c r="H40" s="20">
        <f t="shared" si="7"/>
        <v>85.000479999999996</v>
      </c>
      <c r="I40" s="23">
        <f t="shared" si="8"/>
        <v>5.600724754700219E-2</v>
      </c>
      <c r="J40" s="1">
        <f t="shared" si="2"/>
        <v>47</v>
      </c>
      <c r="K40" s="1">
        <f t="shared" si="3"/>
        <v>47</v>
      </c>
      <c r="L40" s="5" t="str">
        <f t="shared" si="4"/>
        <v>Brazil</v>
      </c>
      <c r="M40" s="20">
        <f t="shared" si="5"/>
        <v>232</v>
      </c>
      <c r="N40" s="24">
        <f t="shared" si="6"/>
        <v>0.1515567227165236</v>
      </c>
      <c r="Q40" s="20">
        <f>VLOOKUP(L40,Data!$C$18:$FI$67,2+Mid!$R$3*2-2)</f>
        <v>5874</v>
      </c>
      <c r="R40" s="24">
        <f>VLOOKUP(L40,Data!$C$18:$FI$67,2+Mid!$R$3*2-1)</f>
        <v>9.5040654392281029E-2</v>
      </c>
    </row>
    <row r="41" spans="3:18" x14ac:dyDescent="0.45">
      <c r="C41" s="19">
        <v>37</v>
      </c>
      <c r="D41" s="18">
        <v>49</v>
      </c>
      <c r="E41" s="5" t="s">
        <v>47</v>
      </c>
      <c r="F41" s="20">
        <f>VLOOKUP($D41,Data!$B$6:$FI$203,2+2*Mid!$M$3-1)</f>
        <v>1456</v>
      </c>
      <c r="G41" s="23">
        <f>VLOOKUP($D41,Data!$B$6:$FI$203,2+2*Mid!$M$3)</f>
        <v>0.95114908739335502</v>
      </c>
      <c r="H41" s="20">
        <f t="shared" si="7"/>
        <v>1456.0004899999999</v>
      </c>
      <c r="I41" s="23">
        <f t="shared" si="8"/>
        <v>0.95163908739335501</v>
      </c>
      <c r="J41" s="1">
        <f t="shared" si="2"/>
        <v>10</v>
      </c>
      <c r="K41" s="1">
        <f t="shared" si="3"/>
        <v>10</v>
      </c>
      <c r="L41" s="5" t="str">
        <f t="shared" si="4"/>
        <v>Bosnia</v>
      </c>
      <c r="M41" s="20">
        <f t="shared" si="5"/>
        <v>225</v>
      </c>
      <c r="N41" s="24">
        <f t="shared" si="6"/>
        <v>0.14698389056559399</v>
      </c>
      <c r="Q41" s="20">
        <f>VLOOKUP(L41,Data!$C$18:$FI$67,2+Mid!$R$3*2-2)</f>
        <v>9193</v>
      </c>
      <c r="R41" s="24">
        <f>VLOOKUP(L41,Data!$C$18:$FI$67,2+Mid!$R$3*2-1)</f>
        <v>0.14874169830239012</v>
      </c>
    </row>
    <row r="42" spans="3:18" x14ac:dyDescent="0.45">
      <c r="C42" s="19">
        <v>38</v>
      </c>
      <c r="D42" s="18">
        <v>50</v>
      </c>
      <c r="E42" s="5" t="s">
        <v>48</v>
      </c>
      <c r="F42" s="20">
        <f>VLOOKUP($D42,Data!$B$6:$FI$203,2+2*Mid!$M$3-1)</f>
        <v>638</v>
      </c>
      <c r="G42" s="23">
        <f>VLOOKUP($D42,Data!$B$6:$FI$203,2+2*Mid!$M$3)</f>
        <v>0.4167809874704399</v>
      </c>
      <c r="H42" s="20">
        <f t="shared" si="7"/>
        <v>638.00049999999999</v>
      </c>
      <c r="I42" s="23">
        <f t="shared" si="8"/>
        <v>0.4172809874704399</v>
      </c>
      <c r="J42" s="1">
        <f t="shared" si="2"/>
        <v>19</v>
      </c>
      <c r="K42" s="1">
        <f t="shared" si="3"/>
        <v>19</v>
      </c>
      <c r="L42" s="5" t="str">
        <f t="shared" si="4"/>
        <v>Iran</v>
      </c>
      <c r="M42" s="20">
        <f t="shared" si="5"/>
        <v>212</v>
      </c>
      <c r="N42" s="24">
        <f t="shared" si="6"/>
        <v>0.13849148799958191</v>
      </c>
      <c r="Q42" s="20">
        <f>VLOOKUP(L42,Data!$C$18:$FI$67,2+Mid!$R$3*2-2)</f>
        <v>21923</v>
      </c>
      <c r="R42" s="24">
        <f>VLOOKUP(L42,Data!$C$18:$FI$67,2+Mid!$R$3*2-1)</f>
        <v>0.35471165581238967</v>
      </c>
    </row>
    <row r="43" spans="3:18" x14ac:dyDescent="0.45">
      <c r="C43" s="19">
        <v>39</v>
      </c>
      <c r="D43" s="18">
        <v>51</v>
      </c>
      <c r="E43" s="5" t="s">
        <v>49</v>
      </c>
      <c r="F43" s="20">
        <f>VLOOKUP($D43,Data!$B$6:$FI$203,2+2*Mid!$M$3-1)</f>
        <v>40</v>
      </c>
      <c r="G43" s="23">
        <f>VLOOKUP($D43,Data!$B$6:$FI$203,2+2*Mid!$M$3)</f>
        <v>2.6130469433883377E-2</v>
      </c>
      <c r="H43" s="20">
        <f t="shared" si="7"/>
        <v>40.000509999999998</v>
      </c>
      <c r="I43" s="23">
        <f t="shared" si="8"/>
        <v>2.6640469433883377E-2</v>
      </c>
      <c r="J43" s="1">
        <f t="shared" si="2"/>
        <v>50</v>
      </c>
      <c r="K43" s="1">
        <f t="shared" si="3"/>
        <v>50</v>
      </c>
      <c r="L43" s="5" t="str">
        <f t="shared" si="4"/>
        <v>Pakistan</v>
      </c>
      <c r="M43" s="20">
        <f t="shared" si="5"/>
        <v>209</v>
      </c>
      <c r="N43" s="24">
        <f t="shared" si="6"/>
        <v>0.13653170279204066</v>
      </c>
      <c r="Q43" s="20">
        <f>VLOOKUP(L43,Data!$C$18:$FI$67,2+Mid!$R$3*2-2)</f>
        <v>30945</v>
      </c>
      <c r="R43" s="24">
        <f>VLOOKUP(L43,Data!$C$18:$FI$67,2+Mid!$R$3*2-1)</f>
        <v>0.50068659349151112</v>
      </c>
    </row>
    <row r="44" spans="3:18" x14ac:dyDescent="0.45">
      <c r="C44" s="19">
        <v>40</v>
      </c>
      <c r="D44" s="18">
        <v>52</v>
      </c>
      <c r="E44" s="5" t="s">
        <v>50</v>
      </c>
      <c r="F44" s="20">
        <f>VLOOKUP($D44,Data!$B$6:$FI$203,2+2*Mid!$M$3-1)</f>
        <v>1045</v>
      </c>
      <c r="G44" s="23">
        <f>VLOOKUP($D44,Data!$B$6:$FI$203,2+2*Mid!$M$3)</f>
        <v>0.68265851396020327</v>
      </c>
      <c r="H44" s="20">
        <f t="shared" si="7"/>
        <v>1045.0005200000001</v>
      </c>
      <c r="I44" s="23">
        <f t="shared" si="8"/>
        <v>0.68317851396020324</v>
      </c>
      <c r="J44" s="1">
        <f t="shared" si="2"/>
        <v>12</v>
      </c>
      <c r="K44" s="1">
        <f t="shared" si="3"/>
        <v>12</v>
      </c>
      <c r="L44" s="5" t="str">
        <f t="shared" si="4"/>
        <v>Taiwan</v>
      </c>
      <c r="M44" s="20">
        <f t="shared" si="5"/>
        <v>179</v>
      </c>
      <c r="N44" s="24">
        <f t="shared" si="6"/>
        <v>0.11693385071662812</v>
      </c>
      <c r="Q44" s="20">
        <f>VLOOKUP(L44,Data!$C$18:$FI$67,2+Mid!$R$3*2-2)</f>
        <v>10719</v>
      </c>
      <c r="R44" s="24">
        <f>VLOOKUP(L44,Data!$C$18:$FI$67,2+Mid!$R$3*2-1)</f>
        <v>0.17343220538489282</v>
      </c>
    </row>
    <row r="45" spans="3:18" x14ac:dyDescent="0.45">
      <c r="C45" s="19">
        <v>41</v>
      </c>
      <c r="D45" s="18">
        <v>53</v>
      </c>
      <c r="E45" s="5" t="s">
        <v>51</v>
      </c>
      <c r="F45" s="20">
        <f>VLOOKUP($D45,Data!$B$6:$FI$203,2+2*Mid!$M$3-1)</f>
        <v>342</v>
      </c>
      <c r="G45" s="23">
        <f>VLOOKUP($D45,Data!$B$6:$FI$203,2+2*Mid!$M$3)</f>
        <v>0.22341551365970291</v>
      </c>
      <c r="H45" s="20">
        <f t="shared" si="7"/>
        <v>342.00053000000003</v>
      </c>
      <c r="I45" s="23">
        <f t="shared" si="8"/>
        <v>0.22394551365970292</v>
      </c>
      <c r="J45" s="1">
        <f t="shared" si="2"/>
        <v>29</v>
      </c>
      <c r="K45" s="1">
        <f t="shared" si="3"/>
        <v>29</v>
      </c>
      <c r="L45" s="5" t="str">
        <f t="shared" si="4"/>
        <v>Bangladesh</v>
      </c>
      <c r="M45" s="20">
        <f t="shared" si="5"/>
        <v>170</v>
      </c>
      <c r="N45" s="24">
        <f t="shared" si="6"/>
        <v>0.11105449509400438</v>
      </c>
      <c r="Q45" s="20">
        <f>VLOOKUP(L45,Data!$C$18:$FI$67,2+Mid!$R$3*2-2)</f>
        <v>10295</v>
      </c>
      <c r="R45" s="24">
        <f>VLOOKUP(L45,Data!$C$18:$FI$67,2+Mid!$R$3*2-1)</f>
        <v>0.16657193343012142</v>
      </c>
    </row>
    <row r="46" spans="3:18" x14ac:dyDescent="0.45">
      <c r="C46" s="19">
        <v>42</v>
      </c>
      <c r="D46" s="18">
        <v>54</v>
      </c>
      <c r="E46" s="5" t="s">
        <v>52</v>
      </c>
      <c r="F46" s="20">
        <f>VLOOKUP($D46,Data!$B$6:$FI$203,2+2*Mid!$M$3-1)</f>
        <v>1469</v>
      </c>
      <c r="G46" s="23">
        <f>VLOOKUP($D46,Data!$B$6:$FI$203,2+2*Mid!$M$3)</f>
        <v>0.95964148995936716</v>
      </c>
      <c r="H46" s="20">
        <f t="shared" si="7"/>
        <v>1469.00054</v>
      </c>
      <c r="I46" s="23">
        <f t="shared" si="8"/>
        <v>0.96018148995936714</v>
      </c>
      <c r="J46" s="1">
        <f t="shared" si="2"/>
        <v>9</v>
      </c>
      <c r="K46" s="1">
        <f t="shared" si="3"/>
        <v>9</v>
      </c>
      <c r="L46" s="5" t="str">
        <f t="shared" si="4"/>
        <v>Wales</v>
      </c>
      <c r="M46" s="20">
        <f t="shared" si="5"/>
        <v>169</v>
      </c>
      <c r="N46" s="24">
        <f t="shared" si="6"/>
        <v>0.11040123335815728</v>
      </c>
      <c r="Q46" s="20">
        <f>VLOOKUP(L46,Data!$C$18:$FI$67,2+Mid!$R$3*2-2)</f>
        <v>4859</v>
      </c>
      <c r="R46" s="24">
        <f>VLOOKUP(L46,Data!$C$18:$FI$67,2+Mid!$R$3*2-1)</f>
        <v>7.8618069406212729E-2</v>
      </c>
    </row>
    <row r="47" spans="3:18" x14ac:dyDescent="0.45">
      <c r="C47" s="19">
        <v>43</v>
      </c>
      <c r="D47" s="18">
        <v>55</v>
      </c>
      <c r="E47" s="5" t="s">
        <v>53</v>
      </c>
      <c r="F47" s="20">
        <f>VLOOKUP($D47,Data!$B$6:$FI$203,2+2*Mid!$M$3-1)</f>
        <v>1576</v>
      </c>
      <c r="G47" s="23">
        <f>VLOOKUP($D47,Data!$B$6:$FI$203,2+2*Mid!$M$3)</f>
        <v>1.0295404956950052</v>
      </c>
      <c r="H47" s="20">
        <f t="shared" si="7"/>
        <v>1576.00055</v>
      </c>
      <c r="I47" s="23">
        <f t="shared" si="8"/>
        <v>1.0300904956950052</v>
      </c>
      <c r="J47" s="1">
        <f t="shared" si="2"/>
        <v>8</v>
      </c>
      <c r="K47" s="1">
        <f t="shared" si="3"/>
        <v>8</v>
      </c>
      <c r="L47" s="5" t="str">
        <f t="shared" si="4"/>
        <v>Malta</v>
      </c>
      <c r="M47" s="20">
        <f t="shared" si="5"/>
        <v>146</v>
      </c>
      <c r="N47" s="24">
        <f t="shared" si="6"/>
        <v>9.5376213433674334E-2</v>
      </c>
      <c r="Q47" s="20">
        <f>VLOOKUP(L47,Data!$C$18:$FI$67,2+Mid!$R$3*2-2)</f>
        <v>16844</v>
      </c>
      <c r="R47" s="24">
        <f>VLOOKUP(L47,Data!$C$18:$FI$67,2+Mid!$R$3*2-1)</f>
        <v>0.27253401133530503</v>
      </c>
    </row>
    <row r="48" spans="3:18" x14ac:dyDescent="0.45">
      <c r="C48" s="19">
        <v>44</v>
      </c>
      <c r="D48" s="18">
        <v>56</v>
      </c>
      <c r="E48" s="5" t="s">
        <v>54</v>
      </c>
      <c r="F48" s="20">
        <f>VLOOKUP($D48,Data!$B$6:$FI$203,2+2*Mid!$M$3-1)</f>
        <v>179</v>
      </c>
      <c r="G48" s="23">
        <f>VLOOKUP($D48,Data!$B$6:$FI$203,2+2*Mid!$M$3)</f>
        <v>0.11693385071662812</v>
      </c>
      <c r="H48" s="20">
        <f t="shared" si="7"/>
        <v>179.00056000000001</v>
      </c>
      <c r="I48" s="23">
        <f t="shared" si="8"/>
        <v>0.11749385071662813</v>
      </c>
      <c r="J48" s="1">
        <f t="shared" si="2"/>
        <v>40</v>
      </c>
      <c r="K48" s="1">
        <f t="shared" si="3"/>
        <v>40</v>
      </c>
      <c r="L48" s="5" t="str">
        <f t="shared" si="4"/>
        <v>Zimbabwe</v>
      </c>
      <c r="M48" s="20">
        <f t="shared" si="5"/>
        <v>118</v>
      </c>
      <c r="N48" s="24">
        <f t="shared" si="6"/>
        <v>7.7084884829955971E-2</v>
      </c>
      <c r="Q48" s="20">
        <f>VLOOKUP(L48,Data!$C$18:$FI$67,2+Mid!$R$3*2-2)</f>
        <v>6039</v>
      </c>
      <c r="R48" s="24">
        <f>VLOOKUP(L48,Data!$C$18:$FI$67,2+Mid!$R$3*2-1)</f>
        <v>9.7710335695434997E-2</v>
      </c>
    </row>
    <row r="49" spans="3:18" x14ac:dyDescent="0.45">
      <c r="C49" s="19">
        <v>45</v>
      </c>
      <c r="D49" s="18">
        <v>57</v>
      </c>
      <c r="E49" s="5" t="s">
        <v>55</v>
      </c>
      <c r="F49" s="20">
        <f>VLOOKUP($D49,Data!$B$6:$FI$203,2+2*Mid!$M$3-1)</f>
        <v>511</v>
      </c>
      <c r="G49" s="23">
        <f>VLOOKUP($D49,Data!$B$6:$FI$203,2+2*Mid!$M$3)</f>
        <v>0.33381674701786018</v>
      </c>
      <c r="H49" s="20">
        <f t="shared" si="7"/>
        <v>511.00056999999998</v>
      </c>
      <c r="I49" s="23">
        <f t="shared" si="8"/>
        <v>0.3343867470178602</v>
      </c>
      <c r="J49" s="1">
        <f t="shared" si="2"/>
        <v>21</v>
      </c>
      <c r="K49" s="1">
        <f t="shared" si="3"/>
        <v>21</v>
      </c>
      <c r="L49" s="5" t="str">
        <f t="shared" si="4"/>
        <v>Iraq</v>
      </c>
      <c r="M49" s="20">
        <f t="shared" si="5"/>
        <v>105</v>
      </c>
      <c r="N49" s="24">
        <f t="shared" si="6"/>
        <v>6.8592482263943877E-2</v>
      </c>
      <c r="Q49" s="20">
        <f>VLOOKUP(L49,Data!$C$18:$FI$67,2+Mid!$R$3*2-2)</f>
        <v>26083</v>
      </c>
      <c r="R49" s="24">
        <f>VLOOKUP(L49,Data!$C$18:$FI$67,2+Mid!$R$3*2-1)</f>
        <v>0.42201998442524108</v>
      </c>
    </row>
    <row r="50" spans="3:18" x14ac:dyDescent="0.45">
      <c r="C50" s="19">
        <v>46</v>
      </c>
      <c r="D50" s="18">
        <v>58</v>
      </c>
      <c r="E50" s="5" t="s">
        <v>56</v>
      </c>
      <c r="F50" s="20">
        <f>VLOOKUP($D50,Data!$B$6:$FI$203,2+2*Mid!$M$3-1)</f>
        <v>600</v>
      </c>
      <c r="G50" s="23">
        <f>VLOOKUP($D50,Data!$B$6:$FI$203,2+2*Mid!$M$3)</f>
        <v>0.39195704150825073</v>
      </c>
      <c r="H50" s="20">
        <f t="shared" si="7"/>
        <v>600.00058000000001</v>
      </c>
      <c r="I50" s="23">
        <f t="shared" si="8"/>
        <v>0.39253704150825075</v>
      </c>
      <c r="J50" s="1">
        <f t="shared" si="2"/>
        <v>20</v>
      </c>
      <c r="K50" s="1">
        <f t="shared" si="3"/>
        <v>20</v>
      </c>
      <c r="L50" s="5" t="str">
        <f t="shared" si="4"/>
        <v>Myanmar</v>
      </c>
      <c r="M50" s="20">
        <f t="shared" si="5"/>
        <v>96</v>
      </c>
      <c r="N50" s="24">
        <f t="shared" si="6"/>
        <v>6.2713126641320116E-2</v>
      </c>
      <c r="Q50" s="20">
        <f>VLOOKUP(L50,Data!$C$18:$FI$67,2+Mid!$R$3*2-2)</f>
        <v>14216</v>
      </c>
      <c r="R50" s="24">
        <f>VLOOKUP(L50,Data!$C$18:$FI$67,2+Mid!$R$3*2-1)</f>
        <v>0.23001326912507103</v>
      </c>
    </row>
    <row r="51" spans="3:18" x14ac:dyDescent="0.45">
      <c r="C51" s="19">
        <v>47</v>
      </c>
      <c r="D51" s="18">
        <v>59</v>
      </c>
      <c r="E51" s="5" t="s">
        <v>57</v>
      </c>
      <c r="F51" s="20">
        <f>VLOOKUP($D51,Data!$B$6:$FI$203,2+2*Mid!$M$3-1)</f>
        <v>656</v>
      </c>
      <c r="G51" s="23">
        <f>VLOOKUP($D51,Data!$B$6:$FI$203,2+2*Mid!$M$3)</f>
        <v>0.42853969871568742</v>
      </c>
      <c r="H51" s="20">
        <f t="shared" si="7"/>
        <v>656.00058999999999</v>
      </c>
      <c r="I51" s="23">
        <f t="shared" si="8"/>
        <v>0.4291296987156874</v>
      </c>
      <c r="J51" s="1">
        <f t="shared" si="2"/>
        <v>18</v>
      </c>
      <c r="K51" s="1">
        <f t="shared" si="3"/>
        <v>18</v>
      </c>
      <c r="L51" s="5" t="str">
        <f t="shared" si="4"/>
        <v>Papua New Guinea</v>
      </c>
      <c r="M51" s="20">
        <f t="shared" si="5"/>
        <v>85</v>
      </c>
      <c r="N51" s="24">
        <f t="shared" si="6"/>
        <v>5.5527247547002188E-2</v>
      </c>
      <c r="Q51" s="20">
        <f>VLOOKUP(L51,Data!$C$18:$FI$67,2+Mid!$R$3*2-2)</f>
        <v>2712</v>
      </c>
      <c r="R51" s="24">
        <f>VLOOKUP(L51,Data!$C$18:$FI$67,2+Mid!$R$3*2-1)</f>
        <v>4.3879852691839659E-2</v>
      </c>
    </row>
    <row r="52" spans="3:18" x14ac:dyDescent="0.45">
      <c r="C52" s="19">
        <v>48</v>
      </c>
      <c r="D52" s="18">
        <v>60</v>
      </c>
      <c r="E52" s="5" t="s">
        <v>58</v>
      </c>
      <c r="F52" s="20">
        <f>VLOOKUP($D52,Data!$B$6:$FI$203,2+2*Mid!$M$3-1)</f>
        <v>1640</v>
      </c>
      <c r="G52" s="23">
        <f>VLOOKUP($D52,Data!$B$6:$FI$203,2+2*Mid!$M$3)</f>
        <v>1.0713492467892185</v>
      </c>
      <c r="H52" s="20">
        <f t="shared" si="7"/>
        <v>1640.0006000000001</v>
      </c>
      <c r="I52" s="23">
        <f t="shared" si="8"/>
        <v>1.0719492467892184</v>
      </c>
      <c r="J52" s="1">
        <f t="shared" si="2"/>
        <v>7</v>
      </c>
      <c r="K52" s="1">
        <f t="shared" si="3"/>
        <v>7</v>
      </c>
      <c r="L52" s="5" t="str">
        <f t="shared" si="4"/>
        <v>North Macedonia</v>
      </c>
      <c r="M52" s="20">
        <f t="shared" si="5"/>
        <v>81</v>
      </c>
      <c r="N52" s="24">
        <f t="shared" si="6"/>
        <v>5.2914200603613841E-2</v>
      </c>
      <c r="Q52" s="20">
        <f>VLOOKUP(L52,Data!$C$18:$FI$67,2+Mid!$R$3*2-2)</f>
        <v>19025</v>
      </c>
      <c r="R52" s="24">
        <f>VLOOKUP(L52,Data!$C$18:$FI$67,2+Mid!$R$3*2-1)</f>
        <v>0.30782234419699467</v>
      </c>
    </row>
    <row r="53" spans="3:18" x14ac:dyDescent="0.45">
      <c r="C53" s="19">
        <v>49</v>
      </c>
      <c r="D53" s="18">
        <v>61</v>
      </c>
      <c r="E53" s="5" t="s">
        <v>59</v>
      </c>
      <c r="F53" s="20">
        <f>VLOOKUP($D53,Data!$B$6:$FI$203,2+2*Mid!$M$3-1)</f>
        <v>169</v>
      </c>
      <c r="G53" s="23">
        <f>VLOOKUP($D53,Data!$B$6:$FI$203,2+2*Mid!$M$3)</f>
        <v>0.11040123335815728</v>
      </c>
      <c r="H53" s="20">
        <f t="shared" si="7"/>
        <v>169.00060999999999</v>
      </c>
      <c r="I53" s="23">
        <f t="shared" si="8"/>
        <v>0.11101123335815728</v>
      </c>
      <c r="J53" s="1">
        <f t="shared" si="2"/>
        <v>42</v>
      </c>
      <c r="K53" s="1">
        <f t="shared" si="3"/>
        <v>42</v>
      </c>
      <c r="L53" s="5" t="str">
        <f t="shared" si="4"/>
        <v>Afghanistan</v>
      </c>
      <c r="M53" s="20">
        <f t="shared" si="5"/>
        <v>74</v>
      </c>
      <c r="N53" s="24">
        <f t="shared" si="6"/>
        <v>4.8341368452684254E-2</v>
      </c>
      <c r="Q53" s="20">
        <f>VLOOKUP(L53,Data!$C$18:$FI$67,2+Mid!$R$3*2-2)</f>
        <v>25432</v>
      </c>
      <c r="R53" s="24">
        <f>VLOOKUP(L53,Data!$C$18:$FI$67,2+Mid!$R$3*2-1)</f>
        <v>0.41148687819279728</v>
      </c>
    </row>
    <row r="54" spans="3:18" x14ac:dyDescent="0.45">
      <c r="C54" s="19">
        <v>50</v>
      </c>
      <c r="D54" s="18">
        <v>62</v>
      </c>
      <c r="E54" s="5" t="s">
        <v>60</v>
      </c>
      <c r="F54" s="20">
        <f>VLOOKUP($D54,Data!$B$6:$FI$203,2+2*Mid!$M$3-1)</f>
        <v>118</v>
      </c>
      <c r="G54" s="23">
        <f>VLOOKUP($D54,Data!$B$6:$FI$203,2+2*Mid!$M$3)</f>
        <v>7.7084884829955971E-2</v>
      </c>
      <c r="H54" s="20">
        <f t="shared" si="7"/>
        <v>118.00062</v>
      </c>
      <c r="I54" s="23">
        <f t="shared" si="8"/>
        <v>7.7704884829955967E-2</v>
      </c>
      <c r="J54" s="1">
        <f t="shared" si="2"/>
        <v>44</v>
      </c>
      <c r="K54" s="1">
        <f t="shared" si="3"/>
        <v>44</v>
      </c>
      <c r="L54" s="5" t="str">
        <f t="shared" si="4"/>
        <v>Samoa</v>
      </c>
      <c r="M54" s="20">
        <f t="shared" si="5"/>
        <v>40</v>
      </c>
      <c r="N54" s="24">
        <f t="shared" si="6"/>
        <v>2.6130469433883377E-2</v>
      </c>
      <c r="Q54" s="20">
        <f>VLOOKUP(L54,Data!$C$18:$FI$67,2+Mid!$R$3*2-2)</f>
        <v>7716</v>
      </c>
      <c r="R54" s="24">
        <f>VLOOKUP(L54,Data!$C$18:$FI$67,2+Mid!$R$3*2-1)</f>
        <v>0.12484400566749071</v>
      </c>
    </row>
    <row r="55" spans="3:18" x14ac:dyDescent="0.45">
      <c r="C55" s="19">
        <v>51</v>
      </c>
      <c r="D55" s="18">
        <v>63</v>
      </c>
      <c r="E55" s="5" t="s">
        <v>61</v>
      </c>
      <c r="F55" s="20">
        <f>VLOOKUP($D55,Data!$B$6:$FI$203,2+2*Mid!$M$3-1)</f>
        <v>6733</v>
      </c>
      <c r="G55" s="23"/>
      <c r="H55" s="20"/>
      <c r="I55" s="23"/>
      <c r="J55" s="1"/>
      <c r="K55" s="1"/>
      <c r="L55" s="5"/>
      <c r="M55" s="20"/>
    </row>
    <row r="56" spans="3:18" x14ac:dyDescent="0.45">
      <c r="D56" s="18">
        <v>64</v>
      </c>
      <c r="E56" s="5" t="s">
        <v>62</v>
      </c>
      <c r="F56" s="20">
        <f>VLOOKUP($D56,Data!$B$6:$FI$203,2+2*Mid!$M$3-1)</f>
        <v>5049</v>
      </c>
      <c r="G56" s="23"/>
    </row>
    <row r="57" spans="3:18" x14ac:dyDescent="0.45">
      <c r="D57" s="18">
        <v>65</v>
      </c>
      <c r="E57" s="6" t="s">
        <v>64</v>
      </c>
      <c r="F57" s="20">
        <f>VLOOKUP($D57,Data!$B$6:$FI$203,2+2*Mid!$M$3-1)</f>
        <v>158129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25" x14ac:dyDescent="0.45"/>
  <cols>
    <col min="2" max="2" width="2.06640625" bestFit="1" customWidth="1"/>
    <col min="3" max="3" width="2.796875" bestFit="1" customWidth="1"/>
    <col min="4" max="4" width="22.33203125" bestFit="1" customWidth="1"/>
    <col min="11" max="11" width="15.33203125" customWidth="1"/>
  </cols>
  <sheetData>
    <row r="2" spans="2:17" x14ac:dyDescent="0.45">
      <c r="E2" s="20"/>
      <c r="F2" s="22"/>
      <c r="I2" s="140" t="s">
        <v>246</v>
      </c>
      <c r="J2" s="140"/>
      <c r="K2" s="28" t="s">
        <v>248</v>
      </c>
      <c r="L2" s="28">
        <f>'Municipal Detail'!E3</f>
        <v>35</v>
      </c>
      <c r="P2" s="26" t="s">
        <v>243</v>
      </c>
      <c r="Q2" s="25">
        <f>'Municipal Detail'!H3</f>
        <v>81</v>
      </c>
    </row>
    <row r="3" spans="2:17" x14ac:dyDescent="0.45">
      <c r="E3" s="29" t="s">
        <v>244</v>
      </c>
      <c r="F3" s="22" t="s">
        <v>245</v>
      </c>
      <c r="G3" s="29" t="s">
        <v>244</v>
      </c>
      <c r="H3" s="22" t="s">
        <v>245</v>
      </c>
      <c r="I3" s="29" t="s">
        <v>244</v>
      </c>
      <c r="J3" s="22" t="s">
        <v>245</v>
      </c>
      <c r="L3" s="29" t="s">
        <v>244</v>
      </c>
      <c r="M3" s="17" t="s">
        <v>245</v>
      </c>
      <c r="P3" s="29" t="s">
        <v>244</v>
      </c>
      <c r="Q3" s="17" t="s">
        <v>245</v>
      </c>
    </row>
    <row r="4" spans="2:17" x14ac:dyDescent="0.45">
      <c r="B4" s="19">
        <v>1</v>
      </c>
      <c r="C4" s="18">
        <v>71</v>
      </c>
      <c r="D4" s="7" t="s">
        <v>68</v>
      </c>
      <c r="E4" s="20">
        <f>VLOOKUP($C4,Data!$B$76:$FI$115,2+2*'Mid2'!$L$2-1)</f>
        <v>273</v>
      </c>
      <c r="F4" s="30">
        <f>VLOOKUP($C4,Data!$B$76:$FI$115,2+2*'Mid2'!$L$2)</f>
        <v>0.17884868615003635</v>
      </c>
      <c r="G4" s="20">
        <f>E4+0.00001*B4</f>
        <v>273.00000999999997</v>
      </c>
      <c r="H4" s="30">
        <f>F4+B4*0.00001</f>
        <v>0.17885868615003636</v>
      </c>
      <c r="I4" s="16">
        <f>RANK(G4,G$4:G$43)</f>
        <v>31</v>
      </c>
      <c r="J4" s="16">
        <f>RANK(H4,H$4:H$43)</f>
        <v>31</v>
      </c>
      <c r="K4" s="16" t="str">
        <f>VLOOKUP(MATCH($B4,$I$4:$I$43,0),$B$4:$F$43,3)</f>
        <v>English only</v>
      </c>
      <c r="L4" s="20">
        <f>VLOOKUP(MATCH($B4,$I$4:$I$43,0),$B$4:$F$43,4)</f>
        <v>111535</v>
      </c>
      <c r="M4" s="21">
        <f>VLOOKUP(MATCH($B4,$I$4:$I$43,0),$B$4:$F$43,5)</f>
        <v>73.069187581480975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45">
      <c r="B5" s="19">
        <v>2</v>
      </c>
      <c r="C5" s="18">
        <v>72</v>
      </c>
      <c r="D5" s="7" t="s">
        <v>69</v>
      </c>
      <c r="E5" s="20">
        <f>VLOOKUP($C5,Data!$B$76:$FI$115,2+2*'Mid2'!$L$2-1)</f>
        <v>1069</v>
      </c>
      <c r="F5" s="30">
        <f>VLOOKUP($C5,Data!$B$76:$FI$115,2+2*'Mid2'!$L$2)</f>
        <v>0.70032690657285301</v>
      </c>
      <c r="G5" s="20">
        <f t="shared" ref="G5:G43" si="0">E5+0.00001*B5</f>
        <v>1069.0000199999999</v>
      </c>
      <c r="H5" s="30">
        <f t="shared" ref="H5:H43" si="1">F5+B5*0.00001</f>
        <v>0.70034690657285303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Greek</v>
      </c>
      <c r="L5" s="20">
        <f t="shared" ref="L5:L43" si="4">VLOOKUP(MATCH($B5,$I$4:$I$43,0),$B$4:$F$43,4)</f>
        <v>6611</v>
      </c>
      <c r="M5" s="21">
        <f t="shared" ref="M5:M43" si="5">VLOOKUP(MATCH($B5,$I$4:$I$43,0),$B$4:$F$43,5)</f>
        <v>4.3310207477578402</v>
      </c>
      <c r="N5" s="21"/>
      <c r="P5" s="16">
        <f>VLOOKUP(K5,Data!$C$76:$FI$115,2+'Mid2'!$Q$2*2-2)</f>
        <v>107158</v>
      </c>
      <c r="Q5" s="21">
        <f>VLOOKUP(K5,Data!$C$76:$FI$115,2+'Mid2'!$Q$2*2-1)</f>
        <v>1.7388755969991339</v>
      </c>
    </row>
    <row r="6" spans="2:17" x14ac:dyDescent="0.45">
      <c r="B6" s="19">
        <v>3</v>
      </c>
      <c r="C6" s="18">
        <v>73</v>
      </c>
      <c r="D6" s="7" t="s">
        <v>70</v>
      </c>
      <c r="E6" s="20">
        <f>VLOOKUP($C6,Data!$B$76:$FI$115,2+2*'Mid2'!$L$2-1)</f>
        <v>0</v>
      </c>
      <c r="F6" s="30">
        <f>VLOOKUP($C6,Data!$B$76:$FI$115,2+2*'Mid2'!$L$2)</f>
        <v>0</v>
      </c>
      <c r="G6" s="20">
        <f t="shared" si="0"/>
        <v>3.0000000000000004E-5</v>
      </c>
      <c r="H6" s="30">
        <f t="shared" si="1"/>
        <v>3.0000000000000004E-5</v>
      </c>
      <c r="I6" s="16">
        <f t="shared" si="2"/>
        <v>40</v>
      </c>
      <c r="J6" s="16">
        <f t="shared" si="2"/>
        <v>40</v>
      </c>
      <c r="K6" s="16" t="str">
        <f t="shared" si="3"/>
        <v>Mandarin</v>
      </c>
      <c r="L6" s="20">
        <f t="shared" si="4"/>
        <v>5467</v>
      </c>
      <c r="M6" s="21">
        <f t="shared" si="5"/>
        <v>3.5815595867481642</v>
      </c>
      <c r="N6" s="21"/>
      <c r="P6" s="16">
        <f>VLOOKUP(K6,Data!$C$76:$FI$115,2+'Mid2'!$Q$2*2-2)</f>
        <v>221798</v>
      </c>
      <c r="Q6" s="21">
        <f>VLOOKUP(K6,Data!$C$76:$FI$115,2+'Mid2'!$Q$2*2-1)</f>
        <v>3.5991631951250858</v>
      </c>
    </row>
    <row r="7" spans="2:17" x14ac:dyDescent="0.45">
      <c r="B7" s="19">
        <v>4</v>
      </c>
      <c r="C7" s="18">
        <v>74</v>
      </c>
      <c r="D7" s="8" t="s">
        <v>71</v>
      </c>
      <c r="E7" s="20">
        <f>VLOOKUP($C7,Data!$B$76:$FI$115,2+2*'Mid2'!$L$2-1)</f>
        <v>203</v>
      </c>
      <c r="F7" s="30">
        <f>VLOOKUP($C7,Data!$B$76:$FI$115,2+2*'Mid2'!$L$2)</f>
        <v>0.13299004867566808</v>
      </c>
      <c r="G7" s="20">
        <f t="shared" si="0"/>
        <v>203.00004000000001</v>
      </c>
      <c r="H7" s="30">
        <f t="shared" si="1"/>
        <v>0.13303004867566809</v>
      </c>
      <c r="I7" s="16">
        <f t="shared" si="2"/>
        <v>37</v>
      </c>
      <c r="J7" s="16">
        <f t="shared" si="2"/>
        <v>37</v>
      </c>
      <c r="K7" s="16" t="str">
        <f t="shared" si="3"/>
        <v>Russian</v>
      </c>
      <c r="L7" s="20">
        <f t="shared" si="4"/>
        <v>2081</v>
      </c>
      <c r="M7" s="21">
        <f t="shared" si="5"/>
        <v>1.3633117797737204</v>
      </c>
      <c r="N7" s="21"/>
      <c r="P7" s="16">
        <f>VLOOKUP(K7,Data!$C$76:$FI$115,2+'Mid2'!$Q$2*2-2)</f>
        <v>18205</v>
      </c>
      <c r="Q7" s="21">
        <f>VLOOKUP(K7,Data!$C$76:$FI$115,2+'Mid2'!$Q$2*2-1)</f>
        <v>0.2954163967540383</v>
      </c>
    </row>
    <row r="8" spans="2:17" x14ac:dyDescent="0.45">
      <c r="B8" s="19">
        <v>5</v>
      </c>
      <c r="C8" s="18">
        <v>75</v>
      </c>
      <c r="D8" s="7" t="s">
        <v>72</v>
      </c>
      <c r="E8" s="20">
        <f>VLOOKUP($C8,Data!$B$76:$FI$115,2+2*'Mid2'!$L$2-1)</f>
        <v>245</v>
      </c>
      <c r="F8" s="30">
        <f>VLOOKUP($C8,Data!$B$76:$FI$115,2+2*'Mid2'!$L$2)</f>
        <v>0.16050523116028906</v>
      </c>
      <c r="G8" s="20">
        <f t="shared" si="0"/>
        <v>245.00004999999999</v>
      </c>
      <c r="H8" s="30">
        <f t="shared" si="1"/>
        <v>0.16055523116028905</v>
      </c>
      <c r="I8" s="16">
        <f t="shared" si="2"/>
        <v>34</v>
      </c>
      <c r="J8" s="16">
        <f t="shared" si="2"/>
        <v>34</v>
      </c>
      <c r="K8" s="16" t="str">
        <f t="shared" si="3"/>
        <v>Italian</v>
      </c>
      <c r="L8" s="20">
        <f t="shared" si="4"/>
        <v>1999</v>
      </c>
      <c r="M8" s="21">
        <f t="shared" si="5"/>
        <v>1.3095916615894603</v>
      </c>
      <c r="N8" s="21"/>
      <c r="P8" s="16">
        <f>VLOOKUP(K8,Data!$C$76:$FI$115,2+'Mid2'!$Q$2*2-2)</f>
        <v>92320</v>
      </c>
      <c r="Q8" s="21">
        <f>VLOOKUP(K8,Data!$C$76:$FI$115,2+'Mid2'!$Q$2*2-1)</f>
        <v>1.4980962234733763</v>
      </c>
    </row>
    <row r="9" spans="2:17" x14ac:dyDescent="0.45">
      <c r="B9" s="19">
        <v>6</v>
      </c>
      <c r="C9" s="18">
        <v>76</v>
      </c>
      <c r="D9" s="7" t="s">
        <v>73</v>
      </c>
      <c r="E9" s="20">
        <f>VLOOKUP($C9,Data!$B$76:$FI$115,2+2*'Mid2'!$L$2-1)</f>
        <v>1691</v>
      </c>
      <c r="F9" s="30">
        <f>VLOOKUP($C9,Data!$B$76:$FI$115,2+2*'Mid2'!$L$2)</f>
        <v>1.1078136567022399</v>
      </c>
      <c r="G9" s="20">
        <f t="shared" si="0"/>
        <v>1691.0000600000001</v>
      </c>
      <c r="H9" s="30">
        <f t="shared" si="1"/>
        <v>1.1078736567022398</v>
      </c>
      <c r="I9" s="16">
        <f t="shared" si="2"/>
        <v>7</v>
      </c>
      <c r="J9" s="16">
        <f t="shared" si="2"/>
        <v>7</v>
      </c>
      <c r="K9" s="16" t="str">
        <f t="shared" si="3"/>
        <v>Vietnamese</v>
      </c>
      <c r="L9" s="20">
        <f t="shared" si="4"/>
        <v>1727</v>
      </c>
      <c r="M9" s="21">
        <f t="shared" si="5"/>
        <v>1.131398098831915</v>
      </c>
      <c r="N9" s="21"/>
      <c r="P9" s="16">
        <f>VLOOKUP(K9,Data!$C$76:$FI$115,2+'Mid2'!$Q$2*2-2)</f>
        <v>118801</v>
      </c>
      <c r="Q9" s="21">
        <f>VLOOKUP(K9,Data!$C$76:$FI$115,2+'Mid2'!$Q$2*2-1)</f>
        <v>1.9278090277822852</v>
      </c>
    </row>
    <row r="10" spans="2:17" x14ac:dyDescent="0.45">
      <c r="B10" s="19">
        <v>7</v>
      </c>
      <c r="C10" s="18">
        <v>77</v>
      </c>
      <c r="D10" s="7" t="s">
        <v>74</v>
      </c>
      <c r="E10" s="20">
        <f>VLOOKUP($C10,Data!$B$76:$FI$115,2+2*'Mid2'!$L$2-1)</f>
        <v>577</v>
      </c>
      <c r="F10" s="30">
        <f>VLOOKUP($C10,Data!$B$76:$FI$115,2+2*'Mid2'!$L$2)</f>
        <v>0.37800619746729297</v>
      </c>
      <c r="G10" s="20">
        <f t="shared" si="0"/>
        <v>577.00007000000005</v>
      </c>
      <c r="H10" s="30">
        <f t="shared" si="1"/>
        <v>0.37807619746729298</v>
      </c>
      <c r="I10" s="16">
        <f t="shared" si="2"/>
        <v>20</v>
      </c>
      <c r="J10" s="16">
        <f t="shared" si="2"/>
        <v>20</v>
      </c>
      <c r="K10" s="16" t="str">
        <f t="shared" si="3"/>
        <v>Cantonese</v>
      </c>
      <c r="L10" s="20">
        <f t="shared" si="4"/>
        <v>1691</v>
      </c>
      <c r="M10" s="21">
        <f t="shared" si="5"/>
        <v>1.1078136567022399</v>
      </c>
      <c r="N10" s="21"/>
      <c r="P10" s="16">
        <f>VLOOKUP(K10,Data!$C$76:$FI$115,2+'Mid2'!$Q$2*2-2)</f>
        <v>82432</v>
      </c>
      <c r="Q10" s="21">
        <f>VLOOKUP(K10,Data!$C$76:$FI$115,2+'Mid2'!$Q$2*2-1)</f>
        <v>1.3376415499713752</v>
      </c>
    </row>
    <row r="11" spans="2:17" x14ac:dyDescent="0.45">
      <c r="B11" s="19">
        <v>8</v>
      </c>
      <c r="C11" s="18">
        <v>78</v>
      </c>
      <c r="D11" s="7" t="s">
        <v>75</v>
      </c>
      <c r="E11" s="20">
        <f>VLOOKUP($C11,Data!$B$76:$FI$115,2+2*'Mid2'!$L$2-1)</f>
        <v>488</v>
      </c>
      <c r="F11" s="30">
        <f>VLOOKUP($C11,Data!$B$76:$FI$115,2+2*'Mid2'!$L$2)</f>
        <v>0.31970021553559613</v>
      </c>
      <c r="G11" s="20">
        <f t="shared" si="0"/>
        <v>488.00008000000003</v>
      </c>
      <c r="H11" s="30">
        <f t="shared" si="1"/>
        <v>0.31978021553559616</v>
      </c>
      <c r="I11" s="16">
        <f t="shared" si="2"/>
        <v>24</v>
      </c>
      <c r="J11" s="16">
        <f>RANK(H11,H$4:H$43)</f>
        <v>24</v>
      </c>
      <c r="K11" s="16" t="str">
        <f t="shared" si="3"/>
        <v>Hindi</v>
      </c>
      <c r="L11" s="20">
        <f t="shared" si="4"/>
        <v>1517</v>
      </c>
      <c r="M11" s="21">
        <f t="shared" si="5"/>
        <v>0.99382218640881004</v>
      </c>
      <c r="N11" s="21"/>
      <c r="P11" s="16">
        <f>VLOOKUP(K11,Data!$C$76:$FI$115,2+'Mid2'!$Q$2*2-2)</f>
        <v>66930</v>
      </c>
      <c r="Q11" s="21">
        <f>VLOOKUP(K11,Data!$C$76:$FI$115,2+'Mid2'!$Q$2*2-1)</f>
        <v>1.0860873075939459</v>
      </c>
    </row>
    <row r="12" spans="2:17" x14ac:dyDescent="0.45">
      <c r="B12" s="19">
        <v>9</v>
      </c>
      <c r="C12" s="18">
        <v>79</v>
      </c>
      <c r="D12" s="9" t="s">
        <v>76</v>
      </c>
      <c r="E12" s="20">
        <f>VLOOKUP($C12,Data!$B$76:$FI$115,2+2*'Mid2'!$L$2-1)</f>
        <v>111535</v>
      </c>
      <c r="F12" s="30">
        <f>VLOOKUP($C12,Data!$B$76:$FI$115,2+2*'Mid2'!$L$2)</f>
        <v>73.069187581480975</v>
      </c>
      <c r="G12" s="20">
        <f t="shared" si="0"/>
        <v>111535.00009</v>
      </c>
      <c r="H12" s="30">
        <f t="shared" si="1"/>
        <v>73.069277581480975</v>
      </c>
      <c r="I12" s="16">
        <f t="shared" si="2"/>
        <v>1</v>
      </c>
      <c r="J12" s="16">
        <f t="shared" si="2"/>
        <v>1</v>
      </c>
      <c r="K12" s="16" t="str">
        <f t="shared" si="3"/>
        <v>Spanish</v>
      </c>
      <c r="L12" s="20">
        <f t="shared" si="4"/>
        <v>1214</v>
      </c>
      <c r="M12" s="21">
        <f t="shared" si="5"/>
        <v>0.79531979848404444</v>
      </c>
      <c r="N12" s="21"/>
      <c r="P12" s="16">
        <f>VLOOKUP(K12,Data!$C$76:$FI$115,2+'Mid2'!$Q$2*2-2)</f>
        <v>43181</v>
      </c>
      <c r="Q12" s="21">
        <f>VLOOKUP(K12,Data!$C$76:$FI$115,2+'Mid2'!$Q$2*2-1)</f>
        <v>0.7007072468133001</v>
      </c>
    </row>
    <row r="13" spans="2:17" x14ac:dyDescent="0.45">
      <c r="B13" s="19">
        <v>10</v>
      </c>
      <c r="C13" s="18">
        <v>80</v>
      </c>
      <c r="D13" s="10" t="s">
        <v>77</v>
      </c>
      <c r="E13" s="20">
        <f>VLOOKUP($C13,Data!$B$76:$FI$115,2+2*'Mid2'!$L$2-1)</f>
        <v>447</v>
      </c>
      <c r="F13" s="30">
        <f>VLOOKUP($C13,Data!$B$76:$FI$115,2+2*'Mid2'!$L$2)</f>
        <v>0.29284015644346612</v>
      </c>
      <c r="G13" s="20">
        <f t="shared" si="0"/>
        <v>447.00009999999997</v>
      </c>
      <c r="H13" s="30">
        <f t="shared" si="1"/>
        <v>0.2929401564434661</v>
      </c>
      <c r="I13" s="16">
        <f t="shared" si="2"/>
        <v>26</v>
      </c>
      <c r="J13" s="16">
        <f t="shared" si="2"/>
        <v>26</v>
      </c>
      <c r="K13" s="16" t="str">
        <f t="shared" si="3"/>
        <v>Arabic</v>
      </c>
      <c r="L13" s="20">
        <f t="shared" si="4"/>
        <v>1069</v>
      </c>
      <c r="M13" s="21">
        <f t="shared" si="5"/>
        <v>0.70032690657285301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45">
      <c r="B14" s="19">
        <v>11</v>
      </c>
      <c r="C14" s="18">
        <v>81</v>
      </c>
      <c r="D14" s="7" t="s">
        <v>78</v>
      </c>
      <c r="E14" s="20">
        <f>VLOOKUP($C14,Data!$B$76:$FI$115,2+2*'Mid2'!$L$2-1)</f>
        <v>768</v>
      </c>
      <c r="F14" s="30">
        <f>VLOOKUP($C14,Data!$B$76:$FI$115,2+2*'Mid2'!$L$2)</f>
        <v>0.50313476543306934</v>
      </c>
      <c r="G14" s="20">
        <f t="shared" si="0"/>
        <v>768.00010999999995</v>
      </c>
      <c r="H14" s="30">
        <f t="shared" si="1"/>
        <v>0.5032447654330694</v>
      </c>
      <c r="I14" s="16">
        <f t="shared" si="2"/>
        <v>14</v>
      </c>
      <c r="J14" s="16">
        <f t="shared" si="2"/>
        <v>14</v>
      </c>
      <c r="K14" s="16" t="str">
        <f t="shared" si="3"/>
        <v>Punjabi</v>
      </c>
      <c r="L14" s="20">
        <f t="shared" si="4"/>
        <v>952</v>
      </c>
      <c r="M14" s="21">
        <f t="shared" si="5"/>
        <v>0.6236774696514088</v>
      </c>
      <c r="N14" s="21"/>
      <c r="P14" s="16">
        <f>VLOOKUP(K14,Data!$C$76:$FI$115,2+'Mid2'!$Q$2*2-2)</f>
        <v>104949</v>
      </c>
      <c r="Q14" s="21">
        <f>VLOOKUP(K14,Data!$C$76:$FI$115,2+'Mid2'!$Q$2*2-1)</f>
        <v>1.7030296854127749</v>
      </c>
    </row>
    <row r="15" spans="2:17" x14ac:dyDescent="0.45">
      <c r="B15" s="19">
        <v>12</v>
      </c>
      <c r="C15" s="18">
        <v>82</v>
      </c>
      <c r="D15" s="7" t="s">
        <v>79</v>
      </c>
      <c r="E15" s="20">
        <f>VLOOKUP($C15,Data!$B$76:$FI$115,2+2*'Mid2'!$L$2-1)</f>
        <v>561</v>
      </c>
      <c r="F15" s="30">
        <f>VLOOKUP($C15,Data!$B$76:$FI$115,2+2*'Mid2'!$L$2)</f>
        <v>0.36752422318743733</v>
      </c>
      <c r="G15" s="20">
        <f t="shared" si="0"/>
        <v>561.00012000000004</v>
      </c>
      <c r="H15" s="30">
        <f t="shared" si="1"/>
        <v>0.36764422318743734</v>
      </c>
      <c r="I15" s="16">
        <f t="shared" si="2"/>
        <v>21</v>
      </c>
      <c r="J15" s="16">
        <f t="shared" si="2"/>
        <v>21</v>
      </c>
      <c r="K15" s="16" t="str">
        <f t="shared" si="3"/>
        <v>Khmer</v>
      </c>
      <c r="L15" s="20">
        <f t="shared" si="4"/>
        <v>892</v>
      </c>
      <c r="M15" s="32">
        <f t="shared" si="5"/>
        <v>0.5843700661019503</v>
      </c>
      <c r="N15" s="32"/>
      <c r="P15" s="16">
        <f>VLOOKUP(K15,Data!$C$76:$FI$115,2+'Mid2'!$Q$2*2-2)</f>
        <v>17556</v>
      </c>
      <c r="Q15" s="21">
        <f>VLOOKUP(K15,Data!$C$76:$FI$115,2+'Mid2'!$Q$2*2-1)</f>
        <v>0.28488493608425686</v>
      </c>
    </row>
    <row r="16" spans="2:17" x14ac:dyDescent="0.45">
      <c r="B16" s="19">
        <v>13</v>
      </c>
      <c r="C16" s="18">
        <v>83</v>
      </c>
      <c r="D16" s="7" t="s">
        <v>80</v>
      </c>
      <c r="E16" s="20">
        <f>VLOOKUP($C16,Data!$B$76:$FI$115,2+2*'Mid2'!$L$2-1)</f>
        <v>6611</v>
      </c>
      <c r="F16" s="30">
        <f>VLOOKUP($C16,Data!$B$76:$FI$115,2+2*'Mid2'!$L$2)</f>
        <v>4.3310207477578402</v>
      </c>
      <c r="G16" s="20">
        <f t="shared" si="0"/>
        <v>6611.0001300000004</v>
      </c>
      <c r="H16" s="30">
        <f t="shared" si="1"/>
        <v>4.3311507477578406</v>
      </c>
      <c r="I16" s="16">
        <f t="shared" si="2"/>
        <v>2</v>
      </c>
      <c r="J16" s="16">
        <f t="shared" si="2"/>
        <v>2</v>
      </c>
      <c r="K16" s="16" t="str">
        <f t="shared" si="3"/>
        <v>Tamil</v>
      </c>
      <c r="L16" s="20">
        <f t="shared" si="4"/>
        <v>775</v>
      </c>
      <c r="M16" s="21">
        <f t="shared" si="5"/>
        <v>0.5077206291805062</v>
      </c>
      <c r="N16" s="21"/>
      <c r="P16" s="16">
        <f>VLOOKUP(K16,Data!$C$76:$FI$115,2+'Mid2'!$Q$2*2-2)</f>
        <v>34123</v>
      </c>
      <c r="Q16" s="21">
        <f>VLOOKUP(K16,Data!$C$76:$FI$115,2+'Mid2'!$Q$2*2-1)</f>
        <v>0.55372115937588839</v>
      </c>
    </row>
    <row r="17" spans="2:17" x14ac:dyDescent="0.45">
      <c r="B17" s="19">
        <v>14</v>
      </c>
      <c r="C17" s="18">
        <v>84</v>
      </c>
      <c r="D17" s="7" t="s">
        <v>81</v>
      </c>
      <c r="E17" s="20">
        <f>VLOOKUP($C17,Data!$B$76:$FI$115,2+2*'Mid2'!$L$2-1)</f>
        <v>656</v>
      </c>
      <c r="F17" s="30">
        <f>VLOOKUP($C17,Data!$B$76:$FI$115,2+2*'Mid2'!$L$2)</f>
        <v>0.42976094547408006</v>
      </c>
      <c r="G17" s="20">
        <f t="shared" si="0"/>
        <v>656.00013999999999</v>
      </c>
      <c r="H17" s="30">
        <f t="shared" si="1"/>
        <v>0.42990094547408003</v>
      </c>
      <c r="I17" s="16">
        <f t="shared" si="2"/>
        <v>18</v>
      </c>
      <c r="J17" s="16">
        <f t="shared" si="2"/>
        <v>18</v>
      </c>
      <c r="K17" s="16" t="str">
        <f t="shared" si="3"/>
        <v>French</v>
      </c>
      <c r="L17" s="20">
        <f t="shared" si="4"/>
        <v>768</v>
      </c>
      <c r="M17" s="21">
        <f t="shared" si="5"/>
        <v>0.50313476543306934</v>
      </c>
      <c r="N17" s="21"/>
      <c r="P17" s="16">
        <f>VLOOKUP(K17,Data!$C$76:$FI$115,2+'Mid2'!$Q$2*2-2)</f>
        <v>18543</v>
      </c>
      <c r="Q17" s="21">
        <f>VLOOKUP(K17,Data!$C$76:$FI$115,2+'Mid2'!$Q$2*2-1)</f>
        <v>0.30090119445263014</v>
      </c>
    </row>
    <row r="18" spans="2:17" x14ac:dyDescent="0.45">
      <c r="B18" s="19">
        <v>15</v>
      </c>
      <c r="C18" s="18">
        <v>85</v>
      </c>
      <c r="D18" s="7" t="s">
        <v>82</v>
      </c>
      <c r="E18" s="20">
        <f>VLOOKUP($C18,Data!$B$76:$FI$115,2+2*'Mid2'!$L$2-1)</f>
        <v>1517</v>
      </c>
      <c r="F18" s="30">
        <f>VLOOKUP($C18,Data!$B$76:$FI$115,2+2*'Mid2'!$L$2)</f>
        <v>0.99382218640881004</v>
      </c>
      <c r="G18" s="20">
        <f t="shared" si="0"/>
        <v>1517.0001500000001</v>
      </c>
      <c r="H18" s="30">
        <f t="shared" si="1"/>
        <v>0.99397218640881002</v>
      </c>
      <c r="I18" s="16">
        <f t="shared" si="2"/>
        <v>8</v>
      </c>
      <c r="J18" s="16">
        <f t="shared" si="2"/>
        <v>8</v>
      </c>
      <c r="K18" s="16" t="str">
        <f t="shared" si="3"/>
        <v>Turkish</v>
      </c>
      <c r="L18" s="20">
        <f t="shared" si="4"/>
        <v>767</v>
      </c>
      <c r="M18" s="21">
        <f t="shared" si="5"/>
        <v>0.50247964204057838</v>
      </c>
      <c r="N18" s="21"/>
      <c r="P18" s="16">
        <f>VLOOKUP(K18,Data!$C$76:$FI$115,2+'Mid2'!$Q$2*2-2)</f>
        <v>34864</v>
      </c>
      <c r="Q18" s="21">
        <f>VLOOKUP(K18,Data!$C$76:$FI$115,2+'Mid2'!$Q$2*2-1)</f>
        <v>0.56574552356126284</v>
      </c>
    </row>
    <row r="19" spans="2:17" x14ac:dyDescent="0.45">
      <c r="B19" s="19">
        <v>16</v>
      </c>
      <c r="C19" s="18">
        <v>86</v>
      </c>
      <c r="D19" s="7" t="s">
        <v>83</v>
      </c>
      <c r="E19" s="20">
        <f>VLOOKUP($C19,Data!$B$76:$FI$115,2+2*'Mid2'!$L$2-1)</f>
        <v>303</v>
      </c>
      <c r="F19" s="30">
        <f>VLOOKUP($C19,Data!$B$76:$FI$115,2+2*'Mid2'!$L$2)</f>
        <v>0.19850238792476563</v>
      </c>
      <c r="G19" s="20">
        <f t="shared" si="0"/>
        <v>303.00015999999999</v>
      </c>
      <c r="H19" s="30">
        <f t="shared" si="1"/>
        <v>0.19866238792476562</v>
      </c>
      <c r="I19" s="16">
        <f t="shared" si="2"/>
        <v>30</v>
      </c>
      <c r="J19" s="16">
        <f t="shared" si="2"/>
        <v>30</v>
      </c>
      <c r="K19" s="16" t="str">
        <f t="shared" si="3"/>
        <v>Polish</v>
      </c>
      <c r="L19" s="20">
        <f t="shared" si="4"/>
        <v>690</v>
      </c>
      <c r="M19" s="21">
        <f t="shared" si="5"/>
        <v>0.45203514081877327</v>
      </c>
      <c r="N19" s="21"/>
      <c r="P19" s="16">
        <f>VLOOKUP(K19,Data!$C$76:$FI$115,2+'Mid2'!$Q$2*2-2)</f>
        <v>13670</v>
      </c>
      <c r="Q19" s="21">
        <f>VLOOKUP(K19,Data!$C$76:$FI$115,2+'Mid2'!$Q$2*2-1)</f>
        <v>0.22182598976257642</v>
      </c>
    </row>
    <row r="20" spans="2:17" x14ac:dyDescent="0.45">
      <c r="B20" s="19">
        <v>17</v>
      </c>
      <c r="C20" s="18">
        <v>87</v>
      </c>
      <c r="D20" s="10" t="s">
        <v>84</v>
      </c>
      <c r="E20" s="20">
        <f>VLOOKUP($C20,Data!$B$76:$FI$115,2+2*'Mid2'!$L$2-1)</f>
        <v>249</v>
      </c>
      <c r="F20" s="30">
        <f>VLOOKUP($C20,Data!$B$76:$FI$115,2+2*'Mid2'!$L$2)</f>
        <v>0.16312572473025294</v>
      </c>
      <c r="G20" s="20">
        <f t="shared" si="0"/>
        <v>249.00017</v>
      </c>
      <c r="H20" s="30">
        <f t="shared" si="1"/>
        <v>0.16329572473025294</v>
      </c>
      <c r="I20" s="16">
        <f t="shared" si="2"/>
        <v>33</v>
      </c>
      <c r="J20" s="16">
        <f t="shared" si="2"/>
        <v>33</v>
      </c>
      <c r="K20" s="16" t="str">
        <f t="shared" si="3"/>
        <v>Sinhalese</v>
      </c>
      <c r="L20" s="20">
        <f t="shared" si="4"/>
        <v>673</v>
      </c>
      <c r="M20" s="21">
        <f t="shared" si="5"/>
        <v>0.44089804314642661</v>
      </c>
      <c r="N20" s="21"/>
      <c r="P20" s="16">
        <f>VLOOKUP(K20,Data!$C$76:$FI$115,2+'Mid2'!$Q$2*2-2)</f>
        <v>49501</v>
      </c>
      <c r="Q20" s="21">
        <f>VLOOKUP(K20,Data!$C$76:$FI$115,2+'Mid2'!$Q$2*2-1)</f>
        <v>0.80326322744969247</v>
      </c>
    </row>
    <row r="21" spans="2:17" x14ac:dyDescent="0.45">
      <c r="B21" s="19">
        <v>18</v>
      </c>
      <c r="C21" s="18">
        <v>88</v>
      </c>
      <c r="D21" s="10" t="s">
        <v>85</v>
      </c>
      <c r="E21" s="20">
        <f>VLOOKUP($C21,Data!$B$76:$FI$115,2+2*'Mid2'!$L$2-1)</f>
        <v>1999</v>
      </c>
      <c r="F21" s="30">
        <f>VLOOKUP($C21,Data!$B$76:$FI$115,2+2*'Mid2'!$L$2)</f>
        <v>1.3095916615894603</v>
      </c>
      <c r="G21" s="20">
        <f t="shared" si="0"/>
        <v>1999.00018</v>
      </c>
      <c r="H21" s="30">
        <f t="shared" si="1"/>
        <v>1.3097716615894603</v>
      </c>
      <c r="I21" s="16">
        <f t="shared" si="2"/>
        <v>5</v>
      </c>
      <c r="J21" s="16">
        <f t="shared" si="2"/>
        <v>5</v>
      </c>
      <c r="K21" s="16" t="str">
        <f t="shared" si="3"/>
        <v>Gujarati</v>
      </c>
      <c r="L21" s="20">
        <f t="shared" si="4"/>
        <v>656</v>
      </c>
      <c r="M21" s="21">
        <f t="shared" si="5"/>
        <v>0.42976094547408006</v>
      </c>
      <c r="N21" s="21"/>
      <c r="P21" s="16">
        <f>VLOOKUP(K21,Data!$C$76:$FI$115,2+'Mid2'!$Q$2*2-2)</f>
        <v>24181</v>
      </c>
      <c r="Q21" s="21">
        <f>VLOOKUP(K21,Data!$C$76:$FI$115,2+'Mid2'!$Q$2*2-1)</f>
        <v>0.39239021641908267</v>
      </c>
    </row>
    <row r="22" spans="2:17" x14ac:dyDescent="0.45">
      <c r="B22" s="19">
        <v>19</v>
      </c>
      <c r="C22" s="18">
        <v>89</v>
      </c>
      <c r="D22" s="10" t="s">
        <v>86</v>
      </c>
      <c r="E22" s="20">
        <f>VLOOKUP($C22,Data!$B$76:$FI$115,2+2*'Mid2'!$L$2-1)</f>
        <v>545</v>
      </c>
      <c r="F22" s="30">
        <f>VLOOKUP($C22,Data!$B$76:$FI$115,2+2*'Mid2'!$L$2)</f>
        <v>0.35704224890758174</v>
      </c>
      <c r="G22" s="20">
        <f t="shared" si="0"/>
        <v>545.00018999999998</v>
      </c>
      <c r="H22" s="30">
        <f t="shared" si="1"/>
        <v>0.35723224890758176</v>
      </c>
      <c r="I22" s="16">
        <f t="shared" si="2"/>
        <v>22</v>
      </c>
      <c r="J22" s="16">
        <f t="shared" si="2"/>
        <v>22</v>
      </c>
      <c r="K22" s="16" t="str">
        <f t="shared" si="3"/>
        <v>Tagalog</v>
      </c>
      <c r="L22" s="20">
        <f t="shared" si="4"/>
        <v>605</v>
      </c>
      <c r="M22" s="21">
        <f t="shared" si="5"/>
        <v>0.39634965245704029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45">
      <c r="B23" s="19">
        <v>20</v>
      </c>
      <c r="C23" s="18">
        <v>90</v>
      </c>
      <c r="D23" s="10" t="s">
        <v>87</v>
      </c>
      <c r="E23" s="20">
        <f>VLOOKUP($C23,Data!$B$76:$FI$115,2+2*'Mid2'!$L$2-1)</f>
        <v>892</v>
      </c>
      <c r="F23" s="30">
        <f>VLOOKUP($C23,Data!$B$76:$FI$115,2+2*'Mid2'!$L$2)</f>
        <v>0.5843700661019503</v>
      </c>
      <c r="G23" s="20">
        <f t="shared" si="0"/>
        <v>892.00019999999995</v>
      </c>
      <c r="H23" s="30">
        <f t="shared" si="1"/>
        <v>0.58457006610195028</v>
      </c>
      <c r="I23" s="16">
        <f t="shared" si="2"/>
        <v>12</v>
      </c>
      <c r="J23" s="16">
        <f t="shared" si="2"/>
        <v>12</v>
      </c>
      <c r="K23" s="16" t="str">
        <f t="shared" si="3"/>
        <v>Chinese Ls other</v>
      </c>
      <c r="L23" s="20">
        <f t="shared" si="4"/>
        <v>577</v>
      </c>
      <c r="M23" s="21">
        <f t="shared" si="5"/>
        <v>0.37800619746729297</v>
      </c>
      <c r="N23" s="21"/>
      <c r="P23" s="16">
        <f>VLOOKUP(K23,Data!$C$76:$FI$115,2+'Mid2'!$Q$2*2-2)</f>
        <v>15766</v>
      </c>
      <c r="Q23" s="21">
        <f>VLOOKUP(K23,Data!$C$76:$FI$115,2+'Mid2'!$Q$2*2-1)</f>
        <v>0.25583822637869641</v>
      </c>
    </row>
    <row r="24" spans="2:17" x14ac:dyDescent="0.45">
      <c r="B24" s="19">
        <v>21</v>
      </c>
      <c r="C24" s="18">
        <v>91</v>
      </c>
      <c r="D24" s="10" t="s">
        <v>88</v>
      </c>
      <c r="E24" s="20">
        <f>VLOOKUP($C24,Data!$B$76:$FI$115,2+2*'Mid2'!$L$2-1)</f>
        <v>402</v>
      </c>
      <c r="F24" s="30">
        <f>VLOOKUP($C24,Data!$B$76:$FI$115,2+2*'Mid2'!$L$2)</f>
        <v>0.26335960378137224</v>
      </c>
      <c r="G24" s="20">
        <f t="shared" si="0"/>
        <v>402.00020999999998</v>
      </c>
      <c r="H24" s="30">
        <f t="shared" si="1"/>
        <v>0.26356960378137223</v>
      </c>
      <c r="I24" s="16">
        <f t="shared" si="2"/>
        <v>27</v>
      </c>
      <c r="J24" s="16">
        <f t="shared" si="2"/>
        <v>27</v>
      </c>
      <c r="K24" s="16" t="str">
        <f t="shared" si="3"/>
        <v>German</v>
      </c>
      <c r="L24" s="20">
        <f t="shared" si="4"/>
        <v>561</v>
      </c>
      <c r="M24" s="21">
        <f t="shared" si="5"/>
        <v>0.36752422318743733</v>
      </c>
      <c r="N24" s="21"/>
      <c r="P24" s="16">
        <f>VLOOKUP(K24,Data!$C$76:$FI$115,2+'Mid2'!$Q$2*2-2)</f>
        <v>16515</v>
      </c>
      <c r="Q24" s="21">
        <f>VLOOKUP(K24,Data!$C$76:$FI$115,2+'Mid2'!$Q$2*2-1)</f>
        <v>0.26799240826107895</v>
      </c>
    </row>
    <row r="25" spans="2:17" x14ac:dyDescent="0.45">
      <c r="B25" s="19">
        <v>22</v>
      </c>
      <c r="C25" s="18">
        <v>92</v>
      </c>
      <c r="D25" s="10" t="s">
        <v>89</v>
      </c>
      <c r="E25" s="20">
        <f>VLOOKUP($C25,Data!$B$76:$FI$115,2+2*'Mid2'!$L$2-1)</f>
        <v>128</v>
      </c>
      <c r="F25" s="30">
        <f>VLOOKUP($C25,Data!$B$76:$FI$115,2+2*'Mid2'!$L$2)</f>
        <v>8.3855794238844886E-2</v>
      </c>
      <c r="G25" s="20">
        <f t="shared" si="0"/>
        <v>128.00022000000001</v>
      </c>
      <c r="H25" s="30">
        <f t="shared" si="1"/>
        <v>8.4075794238844884E-2</v>
      </c>
      <c r="I25" s="16">
        <f t="shared" si="2"/>
        <v>38</v>
      </c>
      <c r="J25" s="16">
        <f t="shared" si="2"/>
        <v>38</v>
      </c>
      <c r="K25" s="16" t="str">
        <f t="shared" si="3"/>
        <v>Japanese</v>
      </c>
      <c r="L25" s="20">
        <f t="shared" si="4"/>
        <v>545</v>
      </c>
      <c r="M25" s="21">
        <f t="shared" si="5"/>
        <v>0.35704224890758174</v>
      </c>
      <c r="N25" s="21"/>
      <c r="P25" s="16">
        <f>VLOOKUP(K25,Data!$C$76:$FI$115,2+'Mid2'!$Q$2*2-2)</f>
        <v>12352</v>
      </c>
      <c r="Q25" s="21">
        <f>VLOOKUP(K25,Data!$C$76:$FI$115,2+'Mid2'!$Q$2*2-1)</f>
        <v>0.20043852418049332</v>
      </c>
    </row>
    <row r="26" spans="2:17" x14ac:dyDescent="0.45">
      <c r="B26" s="19">
        <v>23</v>
      </c>
      <c r="C26" s="18">
        <v>93</v>
      </c>
      <c r="D26" s="10" t="s">
        <v>90</v>
      </c>
      <c r="E26" s="20">
        <f>VLOOKUP($C26,Data!$B$76:$FI$115,2+2*'Mid2'!$L$2-1)</f>
        <v>454</v>
      </c>
      <c r="F26" s="30">
        <f>VLOOKUP($C26,Data!$B$76:$FI$115,2+2*'Mid2'!$L$2)</f>
        <v>0.29742602019090297</v>
      </c>
      <c r="G26" s="20">
        <f t="shared" si="0"/>
        <v>454.00022999999999</v>
      </c>
      <c r="H26" s="30">
        <f t="shared" si="1"/>
        <v>0.29765602019090298</v>
      </c>
      <c r="I26" s="16">
        <f t="shared" si="2"/>
        <v>25</v>
      </c>
      <c r="J26" s="16">
        <f t="shared" si="2"/>
        <v>25</v>
      </c>
      <c r="K26" s="16" t="str">
        <f t="shared" si="3"/>
        <v>Serbian</v>
      </c>
      <c r="L26" s="20">
        <f t="shared" si="4"/>
        <v>520</v>
      </c>
      <c r="M26" s="21">
        <f t="shared" si="5"/>
        <v>0.34066416409530731</v>
      </c>
      <c r="N26" s="21"/>
      <c r="P26" s="16">
        <f>VLOOKUP(K26,Data!$C$76:$FI$115,2+'Mid2'!$Q$2*2-2)</f>
        <v>17833</v>
      </c>
      <c r="Q26" s="21">
        <f>VLOOKUP(K26,Data!$C$76:$FI$115,2+'Mid2'!$Q$2*2-1)</f>
        <v>0.28937987384316205</v>
      </c>
    </row>
    <row r="27" spans="2:17" x14ac:dyDescent="0.45">
      <c r="B27" s="19">
        <v>24</v>
      </c>
      <c r="C27" s="18">
        <v>94</v>
      </c>
      <c r="D27" s="7" t="s">
        <v>91</v>
      </c>
      <c r="E27" s="20">
        <f>VLOOKUP($C27,Data!$B$76:$FI$115,2+2*'Mid2'!$L$2-1)</f>
        <v>5467</v>
      </c>
      <c r="F27" s="30">
        <f>VLOOKUP($C27,Data!$B$76:$FI$115,2+2*'Mid2'!$L$2)</f>
        <v>3.5815595867481642</v>
      </c>
      <c r="G27" s="20">
        <f t="shared" si="0"/>
        <v>5467.0002400000003</v>
      </c>
      <c r="H27" s="30">
        <f t="shared" si="1"/>
        <v>3.581799586748164</v>
      </c>
      <c r="I27" s="16">
        <f t="shared" si="2"/>
        <v>3</v>
      </c>
      <c r="J27" s="16">
        <f t="shared" si="2"/>
        <v>3</v>
      </c>
      <c r="K27" s="16" t="str">
        <f t="shared" si="3"/>
        <v>Croatian</v>
      </c>
      <c r="L27" s="20">
        <f t="shared" si="4"/>
        <v>488</v>
      </c>
      <c r="M27" s="21">
        <f t="shared" si="5"/>
        <v>0.31970021553559613</v>
      </c>
      <c r="N27" s="21"/>
      <c r="P27" s="16">
        <f>VLOOKUP(K27,Data!$C$76:$FI$115,2+'Mid2'!$Q$2*2-2)</f>
        <v>19258</v>
      </c>
      <c r="Q27" s="21">
        <f>VLOOKUP(K27,Data!$C$76:$FI$115,2+'Mid2'!$Q$2*2-1)</f>
        <v>0.31250365112272832</v>
      </c>
    </row>
    <row r="28" spans="2:17" x14ac:dyDescent="0.45">
      <c r="B28" s="19">
        <v>25</v>
      </c>
      <c r="C28" s="18">
        <v>95</v>
      </c>
      <c r="D28" s="7" t="s">
        <v>92</v>
      </c>
      <c r="E28" s="20">
        <f>VLOOKUP($C28,Data!$B$76:$FI$115,2+2*'Mid2'!$L$2-1)</f>
        <v>257</v>
      </c>
      <c r="F28" s="30">
        <f>VLOOKUP($C28,Data!$B$76:$FI$115,2+2*'Mid2'!$L$2)</f>
        <v>0.16836671187018076</v>
      </c>
      <c r="G28" s="20">
        <f t="shared" si="0"/>
        <v>257.00024999999999</v>
      </c>
      <c r="H28" s="30">
        <f t="shared" si="1"/>
        <v>0.16861671187018076</v>
      </c>
      <c r="I28" s="16">
        <f t="shared" si="2"/>
        <v>32</v>
      </c>
      <c r="J28" s="16">
        <f t="shared" si="2"/>
        <v>32</v>
      </c>
      <c r="K28" s="16" t="str">
        <f t="shared" si="3"/>
        <v>Malayalam</v>
      </c>
      <c r="L28" s="20">
        <f t="shared" si="4"/>
        <v>454</v>
      </c>
      <c r="M28" s="21">
        <f t="shared" si="5"/>
        <v>0.29742602019090297</v>
      </c>
      <c r="N28" s="21"/>
      <c r="P28" s="16">
        <f>VLOOKUP(K28,Data!$C$76:$FI$115,2+'Mid2'!$Q$2*2-2)</f>
        <v>25342</v>
      </c>
      <c r="Q28" s="21">
        <f>VLOOKUP(K28,Data!$C$76:$FI$115,2+'Mid2'!$Q$2*2-1)</f>
        <v>0.41123000969738199</v>
      </c>
    </row>
    <row r="29" spans="2:17" x14ac:dyDescent="0.45">
      <c r="B29" s="19">
        <v>26</v>
      </c>
      <c r="C29" s="18">
        <v>96</v>
      </c>
      <c r="D29" s="10" t="s">
        <v>93</v>
      </c>
      <c r="E29" s="20">
        <f>VLOOKUP($C29,Data!$B$76:$FI$115,2+2*'Mid2'!$L$2-1)</f>
        <v>216</v>
      </c>
      <c r="F29" s="30">
        <f>VLOOKUP($C29,Data!$B$76:$FI$115,2+2*'Mid2'!$L$2)</f>
        <v>0.14150665277805075</v>
      </c>
      <c r="G29" s="20">
        <f t="shared" si="0"/>
        <v>216.00026</v>
      </c>
      <c r="H29" s="30">
        <f t="shared" si="1"/>
        <v>0.14176665277805076</v>
      </c>
      <c r="I29" s="16">
        <f t="shared" si="2"/>
        <v>36</v>
      </c>
      <c r="J29" s="16">
        <f t="shared" si="2"/>
        <v>36</v>
      </c>
      <c r="K29" s="16" t="str">
        <f t="shared" si="3"/>
        <v>Filipino</v>
      </c>
      <c r="L29" s="20">
        <f t="shared" si="4"/>
        <v>447</v>
      </c>
      <c r="M29" s="21">
        <f t="shared" si="5"/>
        <v>0.29284015644346612</v>
      </c>
      <c r="N29" s="21"/>
      <c r="P29" s="16">
        <f>VLOOKUP(K29,Data!$C$76:$FI$115,2+'Mid2'!$Q$2*2-2)</f>
        <v>23611</v>
      </c>
      <c r="Q29" s="21">
        <f>VLOOKUP(K29,Data!$C$76:$FI$115,2+'Mid2'!$Q$2*2-1)</f>
        <v>0.38314070550725615</v>
      </c>
    </row>
    <row r="30" spans="2:17" x14ac:dyDescent="0.45">
      <c r="B30" s="19">
        <v>27</v>
      </c>
      <c r="C30" s="18">
        <v>97</v>
      </c>
      <c r="D30" s="10" t="s">
        <v>94</v>
      </c>
      <c r="E30" s="20">
        <f>VLOOKUP($C30,Data!$B$76:$FI$115,2+2*'Mid2'!$L$2-1)</f>
        <v>690</v>
      </c>
      <c r="F30" s="30">
        <f>VLOOKUP($C30,Data!$B$76:$FI$115,2+2*'Mid2'!$L$2)</f>
        <v>0.45203514081877327</v>
      </c>
      <c r="G30" s="20">
        <f t="shared" si="0"/>
        <v>690.00027</v>
      </c>
      <c r="H30" s="30">
        <f t="shared" si="1"/>
        <v>0.45230514081877327</v>
      </c>
      <c r="I30" s="16">
        <f t="shared" si="2"/>
        <v>16</v>
      </c>
      <c r="J30" s="16">
        <f t="shared" si="2"/>
        <v>16</v>
      </c>
      <c r="K30" s="16" t="str">
        <f t="shared" si="3"/>
        <v>Korean</v>
      </c>
      <c r="L30" s="20">
        <f t="shared" si="4"/>
        <v>402</v>
      </c>
      <c r="M30" s="21">
        <f t="shared" si="5"/>
        <v>0.26335960378137224</v>
      </c>
      <c r="N30" s="21"/>
      <c r="P30" s="16">
        <f>VLOOKUP(K30,Data!$C$76:$FI$115,2+'Mid2'!$Q$2*2-2)</f>
        <v>16802</v>
      </c>
      <c r="Q30" s="21">
        <f>VLOOKUP(K30,Data!$C$76:$FI$115,2+'Mid2'!$Q$2*2-1)</f>
        <v>0.27264961814124422</v>
      </c>
    </row>
    <row r="31" spans="2:17" x14ac:dyDescent="0.45">
      <c r="B31" s="19">
        <v>28</v>
      </c>
      <c r="C31" s="18">
        <v>98</v>
      </c>
      <c r="D31" s="10" t="s">
        <v>95</v>
      </c>
      <c r="E31" s="20">
        <f>VLOOKUP($C31,Data!$B$76:$FI$115,2+2*'Mid2'!$L$2-1)</f>
        <v>344</v>
      </c>
      <c r="F31" s="30">
        <f>VLOOKUP($C31,Data!$B$76:$FI$115,2+2*'Mid2'!$L$2)</f>
        <v>0.22536244701689565</v>
      </c>
      <c r="G31" s="20">
        <f t="shared" si="0"/>
        <v>344.00027999999998</v>
      </c>
      <c r="H31" s="30">
        <f t="shared" si="1"/>
        <v>0.22564244701689565</v>
      </c>
      <c r="I31" s="16">
        <f t="shared" si="2"/>
        <v>29</v>
      </c>
      <c r="J31" s="16">
        <f t="shared" si="2"/>
        <v>29</v>
      </c>
      <c r="K31" s="16" t="str">
        <f t="shared" si="3"/>
        <v>Thai</v>
      </c>
      <c r="L31" s="20">
        <f t="shared" si="4"/>
        <v>401</v>
      </c>
      <c r="M31" s="21">
        <f t="shared" si="5"/>
        <v>0.26270448038888128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45">
      <c r="B32" s="19">
        <v>29</v>
      </c>
      <c r="C32" s="18">
        <v>99</v>
      </c>
      <c r="D32" s="7" t="s">
        <v>96</v>
      </c>
      <c r="E32" s="20">
        <f>VLOOKUP($C32,Data!$B$76:$FI$115,2+2*'Mid2'!$L$2-1)</f>
        <v>952</v>
      </c>
      <c r="F32" s="30">
        <f>VLOOKUP($C32,Data!$B$76:$FI$115,2+2*'Mid2'!$L$2)</f>
        <v>0.6236774696514088</v>
      </c>
      <c r="G32" s="20">
        <f t="shared" si="0"/>
        <v>952.00028999999995</v>
      </c>
      <c r="H32" s="30">
        <f t="shared" si="1"/>
        <v>0.62396746965140881</v>
      </c>
      <c r="I32" s="16">
        <f t="shared" si="2"/>
        <v>11</v>
      </c>
      <c r="J32" s="16">
        <f t="shared" si="2"/>
        <v>11</v>
      </c>
      <c r="K32" s="16" t="str">
        <f t="shared" si="3"/>
        <v>Portuguese</v>
      </c>
      <c r="L32" s="20">
        <f t="shared" si="4"/>
        <v>344</v>
      </c>
      <c r="M32" s="21">
        <f t="shared" si="5"/>
        <v>0.22536244701689565</v>
      </c>
      <c r="N32" s="21"/>
      <c r="P32" s="16">
        <f>VLOOKUP(K32,Data!$C$76:$FI$115,2+'Mid2'!$Q$2*2-2)</f>
        <v>9214</v>
      </c>
      <c r="Q32" s="21">
        <f>VLOOKUP(K32,Data!$C$76:$FI$115,2+'Mid2'!$Q$2*2-1)</f>
        <v>0.14951753252906941</v>
      </c>
    </row>
    <row r="33" spans="2:17" x14ac:dyDescent="0.45">
      <c r="B33" s="19">
        <v>30</v>
      </c>
      <c r="C33" s="18">
        <v>100</v>
      </c>
      <c r="D33" s="10" t="s">
        <v>97</v>
      </c>
      <c r="E33" s="20">
        <f>VLOOKUP($C33,Data!$B$76:$FI$115,2+2*'Mid2'!$L$2-1)</f>
        <v>2081</v>
      </c>
      <c r="F33" s="30">
        <f>VLOOKUP($C33,Data!$B$76:$FI$115,2+2*'Mid2'!$L$2)</f>
        <v>1.3633117797737204</v>
      </c>
      <c r="G33" s="20">
        <f t="shared" si="0"/>
        <v>2081.0003000000002</v>
      </c>
      <c r="H33" s="30">
        <f t="shared" si="1"/>
        <v>1.3636117797737204</v>
      </c>
      <c r="I33" s="16">
        <f t="shared" si="2"/>
        <v>4</v>
      </c>
      <c r="J33" s="16">
        <f t="shared" si="2"/>
        <v>4</v>
      </c>
      <c r="K33" s="16" t="str">
        <f t="shared" si="3"/>
        <v>Indo-Aryan - other</v>
      </c>
      <c r="L33" s="20">
        <f t="shared" si="4"/>
        <v>303</v>
      </c>
      <c r="M33" s="21">
        <f t="shared" si="5"/>
        <v>0.19850238792476563</v>
      </c>
      <c r="N33" s="21"/>
      <c r="P33" s="16">
        <f>VLOOKUP(K33,Data!$C$76:$FI$115,2+'Mid2'!$Q$2*2-2)</f>
        <v>12367</v>
      </c>
      <c r="Q33" s="21">
        <f>VLOOKUP(K33,Data!$C$76:$FI$115,2+'Mid2'!$Q$2*2-1)</f>
        <v>0.20068193236238352</v>
      </c>
    </row>
    <row r="34" spans="2:17" x14ac:dyDescent="0.45">
      <c r="B34" s="19">
        <v>31</v>
      </c>
      <c r="C34" s="18">
        <v>101</v>
      </c>
      <c r="D34" s="10" t="s">
        <v>98</v>
      </c>
      <c r="E34" s="20">
        <f>VLOOKUP($C34,Data!$B$76:$FI$115,2+2*'Mid2'!$L$2-1)</f>
        <v>49</v>
      </c>
      <c r="F34" s="30">
        <f>VLOOKUP($C34,Data!$B$76:$FI$115,2+2*'Mid2'!$L$2)</f>
        <v>3.2101046232057805E-2</v>
      </c>
      <c r="G34" s="20">
        <f t="shared" si="0"/>
        <v>49.000309999999999</v>
      </c>
      <c r="H34" s="30">
        <f t="shared" si="1"/>
        <v>3.2411046232057802E-2</v>
      </c>
      <c r="I34" s="16">
        <f t="shared" si="2"/>
        <v>39</v>
      </c>
      <c r="J34" s="16">
        <f t="shared" si="2"/>
        <v>39</v>
      </c>
      <c r="K34" s="16" t="str">
        <f t="shared" si="3"/>
        <v>Afrikaans</v>
      </c>
      <c r="L34" s="20">
        <f t="shared" si="4"/>
        <v>273</v>
      </c>
      <c r="M34" s="21">
        <f t="shared" si="5"/>
        <v>0.17884868615003635</v>
      </c>
      <c r="N34" s="21"/>
      <c r="P34" s="16">
        <f>VLOOKUP(K34,Data!$C$76:$FI$115,2+'Mid2'!$Q$2*2-2)</f>
        <v>6039</v>
      </c>
      <c r="Q34" s="21">
        <f>VLOOKUP(K34,Data!$C$76:$FI$115,2+'Mid2'!$Q$2*2-1)</f>
        <v>9.7996134028983092E-2</v>
      </c>
    </row>
    <row r="35" spans="2:17" x14ac:dyDescent="0.45">
      <c r="B35" s="19">
        <v>32</v>
      </c>
      <c r="C35" s="18">
        <v>102</v>
      </c>
      <c r="D35" s="10" t="s">
        <v>99</v>
      </c>
      <c r="E35" s="20">
        <f>VLOOKUP($C35,Data!$B$76:$FI$115,2+2*'Mid2'!$L$2-1)</f>
        <v>520</v>
      </c>
      <c r="F35" s="30">
        <f>VLOOKUP($C35,Data!$B$76:$FI$115,2+2*'Mid2'!$L$2)</f>
        <v>0.34066416409530731</v>
      </c>
      <c r="G35" s="20">
        <f t="shared" si="0"/>
        <v>520.00031999999999</v>
      </c>
      <c r="H35" s="30">
        <f t="shared" si="1"/>
        <v>0.3409841640953073</v>
      </c>
      <c r="I35" s="16">
        <f t="shared" si="2"/>
        <v>23</v>
      </c>
      <c r="J35" s="16">
        <f t="shared" si="2"/>
        <v>23</v>
      </c>
      <c r="K35" s="16" t="str">
        <f t="shared" si="3"/>
        <v>Nepali</v>
      </c>
      <c r="L35" s="20">
        <f t="shared" si="4"/>
        <v>257</v>
      </c>
      <c r="M35" s="21">
        <f t="shared" si="5"/>
        <v>0.16836671187018076</v>
      </c>
      <c r="N35" s="21"/>
      <c r="P35" s="16">
        <f>VLOOKUP(K35,Data!$C$76:$FI$115,2+'Mid2'!$Q$2*2-2)</f>
        <v>21955</v>
      </c>
      <c r="Q35" s="21">
        <f>VLOOKUP(K35,Data!$C$76:$FI$115,2+'Mid2'!$Q$2*2-1)</f>
        <v>0.35626844222658122</v>
      </c>
    </row>
    <row r="36" spans="2:17" x14ac:dyDescent="0.45">
      <c r="B36" s="19">
        <v>33</v>
      </c>
      <c r="C36" s="18">
        <v>103</v>
      </c>
      <c r="D36" s="7" t="s">
        <v>100</v>
      </c>
      <c r="E36" s="20">
        <f>VLOOKUP($C36,Data!$B$76:$FI$115,2+2*'Mid2'!$L$2-1)</f>
        <v>673</v>
      </c>
      <c r="F36" s="30">
        <f>VLOOKUP($C36,Data!$B$76:$FI$115,2+2*'Mid2'!$L$2)</f>
        <v>0.44089804314642661</v>
      </c>
      <c r="G36" s="20">
        <f t="shared" si="0"/>
        <v>673.00032999999996</v>
      </c>
      <c r="H36" s="30">
        <f t="shared" si="1"/>
        <v>0.44122804314642661</v>
      </c>
      <c r="I36" s="16">
        <f t="shared" si="2"/>
        <v>17</v>
      </c>
      <c r="J36" s="16">
        <f t="shared" si="2"/>
        <v>17</v>
      </c>
      <c r="K36" s="16" t="str">
        <f t="shared" si="3"/>
        <v>Indonesian</v>
      </c>
      <c r="L36" s="20">
        <f t="shared" si="4"/>
        <v>249</v>
      </c>
      <c r="M36" s="21">
        <f t="shared" si="5"/>
        <v>0.16312572473025294</v>
      </c>
      <c r="N36" s="21"/>
      <c r="P36" s="16">
        <f>VLOOKUP(K36,Data!$C$76:$FI$115,2+'Mid2'!$Q$2*2-2)</f>
        <v>17877</v>
      </c>
      <c r="Q36" s="21">
        <f>VLOOKUP(K36,Data!$C$76:$FI$115,2+'Mid2'!$Q$2*2-1)</f>
        <v>0.29009387117670654</v>
      </c>
    </row>
    <row r="37" spans="2:17" x14ac:dyDescent="0.45">
      <c r="B37" s="19">
        <v>34</v>
      </c>
      <c r="C37" s="18">
        <v>104</v>
      </c>
      <c r="D37" s="10" t="s">
        <v>101</v>
      </c>
      <c r="E37" s="20">
        <f>VLOOKUP($C37,Data!$B$76:$FI$115,2+2*'Mid2'!$L$2-1)</f>
        <v>1214</v>
      </c>
      <c r="F37" s="30">
        <f>VLOOKUP($C37,Data!$B$76:$FI$115,2+2*'Mid2'!$L$2)</f>
        <v>0.79531979848404444</v>
      </c>
      <c r="G37" s="20">
        <f t="shared" si="0"/>
        <v>1214.0003400000001</v>
      </c>
      <c r="H37" s="30">
        <f t="shared" si="1"/>
        <v>0.79565979848404444</v>
      </c>
      <c r="I37" s="16">
        <f t="shared" si="2"/>
        <v>9</v>
      </c>
      <c r="J37" s="16">
        <f t="shared" si="2"/>
        <v>9</v>
      </c>
      <c r="K37" s="16" t="str">
        <f t="shared" si="3"/>
        <v>Bengali</v>
      </c>
      <c r="L37" s="20">
        <f t="shared" si="4"/>
        <v>245</v>
      </c>
      <c r="M37" s="21">
        <f t="shared" si="5"/>
        <v>0.16050523116028906</v>
      </c>
      <c r="N37" s="21"/>
      <c r="P37" s="16">
        <f>VLOOKUP(K37,Data!$C$76:$FI$115,2+'Mid2'!$Q$2*2-2)</f>
        <v>15123</v>
      </c>
      <c r="Q37" s="21">
        <f>VLOOKUP(K37,Data!$C$76:$FI$115,2+'Mid2'!$Q$2*2-1)</f>
        <v>0.24540412898167102</v>
      </c>
    </row>
    <row r="38" spans="2:17" x14ac:dyDescent="0.45">
      <c r="B38" s="19">
        <v>35</v>
      </c>
      <c r="C38" s="18">
        <v>105</v>
      </c>
      <c r="D38" s="10" t="s">
        <v>102</v>
      </c>
      <c r="E38" s="20">
        <f>VLOOKUP($C38,Data!$B$76:$FI$115,2+2*'Mid2'!$L$2-1)</f>
        <v>605</v>
      </c>
      <c r="F38" s="30">
        <f>VLOOKUP($C38,Data!$B$76:$FI$115,2+2*'Mid2'!$L$2)</f>
        <v>0.39634965245704029</v>
      </c>
      <c r="G38" s="20">
        <f t="shared" si="0"/>
        <v>605.00035000000003</v>
      </c>
      <c r="H38" s="30">
        <f t="shared" si="1"/>
        <v>0.39669965245704031</v>
      </c>
      <c r="I38" s="16">
        <f t="shared" si="2"/>
        <v>19</v>
      </c>
      <c r="J38" s="16">
        <f t="shared" si="2"/>
        <v>19</v>
      </c>
      <c r="K38" s="16" t="str">
        <f t="shared" si="3"/>
        <v>Urdu</v>
      </c>
      <c r="L38" s="20">
        <f t="shared" si="4"/>
        <v>244</v>
      </c>
      <c r="M38" s="21">
        <f t="shared" si="5"/>
        <v>0.15985010776779807</v>
      </c>
      <c r="N38" s="21"/>
      <c r="P38" s="16">
        <f>VLOOKUP(K38,Data!$C$76:$FI$115,2+'Mid2'!$Q$2*2-2)</f>
        <v>38084</v>
      </c>
      <c r="Q38" s="21">
        <f>VLOOKUP(K38,Data!$C$76:$FI$115,2+'Mid2'!$Q$2*2-1)</f>
        <v>0.61799714660701976</v>
      </c>
    </row>
    <row r="39" spans="2:17" x14ac:dyDescent="0.45">
      <c r="B39" s="19">
        <v>36</v>
      </c>
      <c r="C39" s="18">
        <v>106</v>
      </c>
      <c r="D39" s="10" t="s">
        <v>103</v>
      </c>
      <c r="E39" s="20">
        <f>VLOOKUP($C39,Data!$B$76:$FI$115,2+2*'Mid2'!$L$2-1)</f>
        <v>775</v>
      </c>
      <c r="F39" s="30">
        <f>VLOOKUP($C39,Data!$B$76:$FI$115,2+2*'Mid2'!$L$2)</f>
        <v>0.5077206291805062</v>
      </c>
      <c r="G39" s="20">
        <f t="shared" si="0"/>
        <v>775.00036</v>
      </c>
      <c r="H39" s="30">
        <f t="shared" si="1"/>
        <v>0.50808062918050623</v>
      </c>
      <c r="I39" s="16">
        <f t="shared" si="2"/>
        <v>13</v>
      </c>
      <c r="J39" s="16">
        <f t="shared" si="2"/>
        <v>13</v>
      </c>
      <c r="K39" s="16" t="str">
        <f t="shared" si="3"/>
        <v>Persian</v>
      </c>
      <c r="L39" s="20">
        <f t="shared" si="4"/>
        <v>216</v>
      </c>
      <c r="M39" s="21">
        <f t="shared" si="5"/>
        <v>0.14150665277805075</v>
      </c>
      <c r="N39" s="21"/>
      <c r="P39" s="16">
        <f>VLOOKUP(K39,Data!$C$76:$FI$115,2+'Mid2'!$Q$2*2-2)</f>
        <v>22398</v>
      </c>
      <c r="Q39" s="21">
        <f>VLOOKUP(K39,Data!$C$76:$FI$115,2+'Mid2'!$Q$2*2-1)</f>
        <v>0.3634570971984043</v>
      </c>
    </row>
    <row r="40" spans="2:17" x14ac:dyDescent="0.45">
      <c r="B40" s="19">
        <v>37</v>
      </c>
      <c r="C40" s="18">
        <v>107</v>
      </c>
      <c r="D40" s="10" t="s">
        <v>104</v>
      </c>
      <c r="E40" s="20">
        <f>VLOOKUP($C40,Data!$B$76:$FI$115,2+2*'Mid2'!$L$2-1)</f>
        <v>401</v>
      </c>
      <c r="F40" s="30">
        <f>VLOOKUP($C40,Data!$B$76:$FI$115,2+2*'Mid2'!$L$2)</f>
        <v>0.26270448038888128</v>
      </c>
      <c r="G40" s="20">
        <f t="shared" si="0"/>
        <v>401.00036999999998</v>
      </c>
      <c r="H40" s="30">
        <f t="shared" si="1"/>
        <v>0.26307448038888126</v>
      </c>
      <c r="I40" s="16">
        <f t="shared" si="2"/>
        <v>28</v>
      </c>
      <c r="J40" s="16">
        <f t="shared" si="2"/>
        <v>28</v>
      </c>
      <c r="K40" s="16" t="str">
        <f t="shared" si="3"/>
        <v>Austronesian - Other</v>
      </c>
      <c r="L40" s="20">
        <f t="shared" si="4"/>
        <v>203</v>
      </c>
      <c r="M40" s="21">
        <f t="shared" si="5"/>
        <v>0.13299004867566808</v>
      </c>
      <c r="N40" s="21"/>
      <c r="P40" s="16">
        <f>VLOOKUP(K40,Data!$C$76:$FI$115,2+'Mid2'!$Q$2*2-2)</f>
        <v>12967</v>
      </c>
      <c r="Q40" s="21">
        <f>VLOOKUP(K40,Data!$C$76:$FI$115,2+'Mid2'!$Q$2*2-1)</f>
        <v>0.21041825963799038</v>
      </c>
    </row>
    <row r="41" spans="2:17" x14ac:dyDescent="0.45">
      <c r="B41" s="19">
        <v>38</v>
      </c>
      <c r="C41" s="18">
        <v>108</v>
      </c>
      <c r="D41" s="10" t="s">
        <v>105</v>
      </c>
      <c r="E41" s="20">
        <f>VLOOKUP($C41,Data!$B$76:$FI$115,2+2*'Mid2'!$L$2-1)</f>
        <v>767</v>
      </c>
      <c r="F41" s="30">
        <f>VLOOKUP($C41,Data!$B$76:$FI$115,2+2*'Mid2'!$L$2)</f>
        <v>0.50247964204057838</v>
      </c>
      <c r="G41" s="20">
        <f t="shared" si="0"/>
        <v>767.00037999999995</v>
      </c>
      <c r="H41" s="30">
        <f t="shared" si="1"/>
        <v>0.50285964204057843</v>
      </c>
      <c r="I41" s="16">
        <f t="shared" si="2"/>
        <v>15</v>
      </c>
      <c r="J41" s="16">
        <f t="shared" si="2"/>
        <v>15</v>
      </c>
      <c r="K41" s="16" t="str">
        <f t="shared" si="3"/>
        <v>Macedonian</v>
      </c>
      <c r="L41" s="20">
        <f t="shared" si="4"/>
        <v>128</v>
      </c>
      <c r="M41" s="21">
        <f t="shared" si="5"/>
        <v>8.3855794238844886E-2</v>
      </c>
      <c r="N41" s="21"/>
      <c r="P41" s="16">
        <f>VLOOKUP(K41,Data!$C$76:$FI$115,2+'Mid2'!$Q$2*2-2)</f>
        <v>29356</v>
      </c>
      <c r="Q41" s="21">
        <f>VLOOKUP(K41,Data!$C$76:$FI$115,2+'Mid2'!$Q$2*2-1)</f>
        <v>0.47636603917119191</v>
      </c>
    </row>
    <row r="42" spans="2:17" x14ac:dyDescent="0.45">
      <c r="B42" s="19">
        <v>39</v>
      </c>
      <c r="C42" s="18">
        <v>109</v>
      </c>
      <c r="D42" s="7" t="s">
        <v>106</v>
      </c>
      <c r="E42" s="20">
        <f>VLOOKUP($C42,Data!$B$76:$FI$115,2+2*'Mid2'!$L$2-1)</f>
        <v>244</v>
      </c>
      <c r="F42" s="30">
        <f>VLOOKUP($C42,Data!$B$76:$FI$115,2+2*'Mid2'!$L$2)</f>
        <v>0.15985010776779807</v>
      </c>
      <c r="G42" s="20">
        <f t="shared" si="0"/>
        <v>244.00039000000001</v>
      </c>
      <c r="H42" s="30">
        <f t="shared" si="1"/>
        <v>0.16024010776779807</v>
      </c>
      <c r="I42" s="16">
        <f t="shared" si="2"/>
        <v>35</v>
      </c>
      <c r="J42" s="16">
        <f t="shared" si="2"/>
        <v>35</v>
      </c>
      <c r="K42" s="16" t="str">
        <f t="shared" si="3"/>
        <v>Samoan</v>
      </c>
      <c r="L42" s="20">
        <f t="shared" si="4"/>
        <v>49</v>
      </c>
      <c r="M42" s="21">
        <f t="shared" si="5"/>
        <v>3.2101046232057805E-2</v>
      </c>
      <c r="N42" s="21"/>
      <c r="P42" s="16">
        <f>VLOOKUP(K42,Data!$C$76:$FI$115,2+'Mid2'!$Q$2*2-2)</f>
        <v>13171</v>
      </c>
      <c r="Q42" s="21">
        <f>VLOOKUP(K42,Data!$C$76:$FI$115,2+'Mid2'!$Q$2*2-1)</f>
        <v>0.2137286109116967</v>
      </c>
    </row>
    <row r="43" spans="2:17" x14ac:dyDescent="0.45">
      <c r="B43" s="19">
        <v>40</v>
      </c>
      <c r="C43" s="18">
        <v>110</v>
      </c>
      <c r="D43" s="10" t="s">
        <v>107</v>
      </c>
      <c r="E43" s="20">
        <f>VLOOKUP($C43,Data!$B$76:$FI$115,2+2*'Mid2'!$L$2-1)</f>
        <v>1727</v>
      </c>
      <c r="F43" s="30">
        <f>VLOOKUP($C43,Data!$B$76:$FI$115,2+2*'Mid2'!$L$2)</f>
        <v>1.131398098831915</v>
      </c>
      <c r="G43" s="20">
        <f t="shared" si="0"/>
        <v>1727.0003999999999</v>
      </c>
      <c r="H43" s="30">
        <f t="shared" si="1"/>
        <v>1.131798098831915</v>
      </c>
      <c r="I43" s="16">
        <f t="shared" si="2"/>
        <v>6</v>
      </c>
      <c r="J43" s="16">
        <f t="shared" si="2"/>
        <v>6</v>
      </c>
      <c r="K43" s="16" t="str">
        <f t="shared" si="3"/>
        <v>Australian Indigenous Languages</v>
      </c>
      <c r="L43" s="20">
        <f t="shared" si="4"/>
        <v>0</v>
      </c>
      <c r="M43" s="21">
        <f t="shared" si="5"/>
        <v>0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25" x14ac:dyDescent="0.45"/>
  <cols>
    <col min="2" max="2" width="3.46484375" customWidth="1"/>
    <col min="3" max="4" width="5.59765625" customWidth="1"/>
    <col min="5" max="5" width="29.9296875" bestFit="1" customWidth="1"/>
    <col min="12" max="12" width="14" customWidth="1"/>
    <col min="16" max="16" width="9.9296875" customWidth="1"/>
  </cols>
  <sheetData>
    <row r="1" spans="3:11" x14ac:dyDescent="0.45">
      <c r="E1" s="28" t="s">
        <v>273</v>
      </c>
    </row>
    <row r="4" spans="3:11" x14ac:dyDescent="0.45">
      <c r="H4" s="23" t="s">
        <v>244</v>
      </c>
      <c r="I4" s="17" t="s">
        <v>246</v>
      </c>
      <c r="J4" s="17"/>
      <c r="K4" s="109"/>
    </row>
    <row r="5" spans="3:11" x14ac:dyDescent="0.45">
      <c r="C5">
        <v>1</v>
      </c>
      <c r="D5" s="111">
        <v>137</v>
      </c>
      <c r="E5" s="62" t="s">
        <v>125</v>
      </c>
      <c r="F5" s="3">
        <f>VLOOKUP(D5,'Municipal Detail'!$C$141:$F$152,3)</f>
        <v>12284</v>
      </c>
      <c r="G5" s="112">
        <f>VLOOKUP(D5,'Municipal Detail'!$C$141:$F$152,4)</f>
        <v>8.2660422049956939</v>
      </c>
      <c r="H5" s="112">
        <f>G5+0.000001*D5</f>
        <v>8.2661792049956944</v>
      </c>
      <c r="I5" s="17">
        <f>RANK(H5,$H$5:$H$14)</f>
        <v>3</v>
      </c>
      <c r="J5" s="1" t="str">
        <f>VLOOKUP(MATCH(C5,$I$5:$I$15,0),$C$5:$H$15,3)</f>
        <v>Mental health</v>
      </c>
      <c r="K5" s="112">
        <f>VLOOKUP(MATCH(C5,$I$5:$I$15,0),$C$5:$H$15,5)</f>
        <v>8.6072082256675291</v>
      </c>
    </row>
    <row r="6" spans="3:11" x14ac:dyDescent="0.45">
      <c r="C6">
        <v>2</v>
      </c>
      <c r="D6" s="111">
        <v>138</v>
      </c>
      <c r="E6" s="93" t="s">
        <v>126</v>
      </c>
      <c r="F6" s="3">
        <f>VLOOKUP(D6,'Municipal Detail'!$C$141:$F$152,3)</f>
        <v>12754</v>
      </c>
      <c r="G6" s="112">
        <f>VLOOKUP(D6,'Municipal Detail'!$C$141:$F$152,4)</f>
        <v>8.5823105081826014</v>
      </c>
      <c r="H6" s="112">
        <f t="shared" ref="H6:H14" si="0">G6+0.000001*D6</f>
        <v>8.5824485081826012</v>
      </c>
      <c r="I6" s="17">
        <f t="shared" ref="I6:I14" si="1">RANK(H6,$H$5:$H$14)</f>
        <v>2</v>
      </c>
      <c r="J6" s="1" t="str">
        <f t="shared" ref="J6:J14" si="2">VLOOKUP(MATCH(C6,$I$5:$I$15,0),$C$5:$H$15,3)</f>
        <v xml:space="preserve">Asthma </v>
      </c>
      <c r="K6" s="112">
        <f t="shared" ref="K6:K14" si="3">VLOOKUP(MATCH(C6,$I$5:$I$15,0),$C$5:$H$15,5)</f>
        <v>8.5823105081826014</v>
      </c>
    </row>
    <row r="7" spans="3:11" x14ac:dyDescent="0.45">
      <c r="C7">
        <v>3</v>
      </c>
      <c r="D7" s="111">
        <v>139</v>
      </c>
      <c r="E7" s="93" t="s">
        <v>286</v>
      </c>
      <c r="F7" s="3">
        <f>VLOOKUP(D7,'Municipal Detail'!$C$141:$F$152,3)</f>
        <v>4844</v>
      </c>
      <c r="G7" s="112">
        <f>VLOOKUP(D7,'Municipal Detail'!$C$141:$F$152,4)</f>
        <v>3.2595822566752801</v>
      </c>
      <c r="H7" s="112">
        <f t="shared" si="0"/>
        <v>3.25972125667528</v>
      </c>
      <c r="I7" s="17">
        <f t="shared" si="1"/>
        <v>6</v>
      </c>
      <c r="J7" s="1" t="str">
        <f t="shared" si="2"/>
        <v xml:space="preserve">Arthritis </v>
      </c>
      <c r="K7" s="112">
        <f t="shared" si="3"/>
        <v>8.2660422049956939</v>
      </c>
    </row>
    <row r="8" spans="3:11" x14ac:dyDescent="0.45">
      <c r="C8">
        <v>4</v>
      </c>
      <c r="D8" s="111">
        <v>140</v>
      </c>
      <c r="E8" s="93" t="s">
        <v>287</v>
      </c>
      <c r="F8" s="3">
        <f>VLOOKUP(D8,'Municipal Detail'!$C$141:$F$152,3)</f>
        <v>1271</v>
      </c>
      <c r="G8" s="112">
        <f>VLOOKUP(D8,'Municipal Detail'!$C$141:$F$152,4)</f>
        <v>0.85527024117140404</v>
      </c>
      <c r="H8" s="112">
        <f t="shared" si="0"/>
        <v>0.85541024117140407</v>
      </c>
      <c r="I8" s="17">
        <f t="shared" si="1"/>
        <v>10</v>
      </c>
      <c r="J8" s="1" t="str">
        <f t="shared" si="2"/>
        <v>Diabetes</v>
      </c>
      <c r="K8" s="112">
        <f t="shared" si="3"/>
        <v>4.8725506029285093</v>
      </c>
    </row>
    <row r="9" spans="3:11" x14ac:dyDescent="0.45">
      <c r="C9">
        <v>5</v>
      </c>
      <c r="D9" s="111">
        <v>141</v>
      </c>
      <c r="E9" s="93" t="s">
        <v>290</v>
      </c>
      <c r="F9" s="3">
        <f>VLOOKUP(D9,'Municipal Detail'!$C$141:$F$152,3)</f>
        <v>7241</v>
      </c>
      <c r="G9" s="112">
        <f>VLOOKUP(D9,'Municipal Detail'!$C$141:$F$152,4)</f>
        <v>4.8725506029285093</v>
      </c>
      <c r="H9" s="112">
        <f t="shared" si="0"/>
        <v>4.8726916029285094</v>
      </c>
      <c r="I9" s="17">
        <f t="shared" si="1"/>
        <v>4</v>
      </c>
      <c r="J9" s="1" t="str">
        <f t="shared" si="2"/>
        <v>Heart disease</v>
      </c>
      <c r="K9" s="112">
        <f t="shared" si="3"/>
        <v>4.2575096899224807</v>
      </c>
    </row>
    <row r="10" spans="3:11" x14ac:dyDescent="0.45">
      <c r="C10">
        <v>6</v>
      </c>
      <c r="D10" s="111">
        <v>142</v>
      </c>
      <c r="E10" s="93" t="s">
        <v>288</v>
      </c>
      <c r="F10" s="3">
        <f>VLOOKUP(D10,'Municipal Detail'!$C$141:$F$152,3)</f>
        <v>6327</v>
      </c>
      <c r="G10" s="112">
        <f>VLOOKUP(D10,'Municipal Detail'!$C$141:$F$152,4)</f>
        <v>4.2575096899224807</v>
      </c>
      <c r="H10" s="112">
        <f t="shared" si="0"/>
        <v>4.257651689922481</v>
      </c>
      <c r="I10" s="17">
        <f t="shared" si="1"/>
        <v>5</v>
      </c>
      <c r="J10" s="1" t="str">
        <f t="shared" si="2"/>
        <v>Cancer</v>
      </c>
      <c r="K10" s="112">
        <f t="shared" si="3"/>
        <v>3.2595822566752801</v>
      </c>
    </row>
    <row r="11" spans="3:11" x14ac:dyDescent="0.45">
      <c r="C11">
        <v>7</v>
      </c>
      <c r="D11" s="111">
        <v>143</v>
      </c>
      <c r="E11" s="93" t="s">
        <v>131</v>
      </c>
      <c r="F11" s="3">
        <f>VLOOKUP(D11,'Municipal Detail'!$C$141:$F$152,3)</f>
        <v>1409</v>
      </c>
      <c r="G11" s="112">
        <f>VLOOKUP(D11,'Municipal Detail'!$C$141:$F$152,4)</f>
        <v>0.94813199827734707</v>
      </c>
      <c r="H11" s="112">
        <f t="shared" si="0"/>
        <v>0.94827499827734707</v>
      </c>
      <c r="I11" s="17">
        <f t="shared" si="1"/>
        <v>9</v>
      </c>
      <c r="J11" s="1" t="str">
        <f t="shared" si="2"/>
        <v>Lung condition</v>
      </c>
      <c r="K11" s="112">
        <f t="shared" si="3"/>
        <v>1.515396210163652</v>
      </c>
    </row>
    <row r="12" spans="3:11" x14ac:dyDescent="0.45">
      <c r="C12">
        <v>8</v>
      </c>
      <c r="D12" s="111">
        <v>144</v>
      </c>
      <c r="E12" s="93" t="s">
        <v>289</v>
      </c>
      <c r="F12" s="3">
        <f>VLOOKUP(D12,'Municipal Detail'!$C$141:$F$152,3)</f>
        <v>2252</v>
      </c>
      <c r="G12" s="112">
        <f>VLOOKUP(D12,'Municipal Detail'!$C$141:$F$152,4)</f>
        <v>1.515396210163652</v>
      </c>
      <c r="H12" s="112">
        <f t="shared" si="0"/>
        <v>1.5155402101636519</v>
      </c>
      <c r="I12" s="17">
        <f t="shared" si="1"/>
        <v>7</v>
      </c>
      <c r="J12" s="1" t="str">
        <f t="shared" si="2"/>
        <v>Stroke</v>
      </c>
      <c r="K12" s="112">
        <f t="shared" si="3"/>
        <v>1.0423395779500431</v>
      </c>
    </row>
    <row r="13" spans="3:11" x14ac:dyDescent="0.45">
      <c r="C13">
        <v>9</v>
      </c>
      <c r="D13" s="111">
        <v>145</v>
      </c>
      <c r="E13" s="93" t="s">
        <v>299</v>
      </c>
      <c r="F13" s="3">
        <f>VLOOKUP(D13,'Municipal Detail'!$C$141:$F$152,3)</f>
        <v>12791</v>
      </c>
      <c r="G13" s="112">
        <f>VLOOKUP(D13,'Municipal Detail'!$C$141:$F$152,4)</f>
        <v>8.6072082256675291</v>
      </c>
      <c r="H13" s="112">
        <f t="shared" si="0"/>
        <v>8.6073532256675289</v>
      </c>
      <c r="I13" s="17">
        <f t="shared" si="1"/>
        <v>1</v>
      </c>
      <c r="J13" s="1" t="str">
        <f t="shared" si="2"/>
        <v xml:space="preserve">Kidney disease </v>
      </c>
      <c r="K13" s="112">
        <f t="shared" si="3"/>
        <v>0.94813199827734707</v>
      </c>
    </row>
    <row r="14" spans="3:11" x14ac:dyDescent="0.45">
      <c r="C14">
        <v>10</v>
      </c>
      <c r="D14" s="111">
        <v>146</v>
      </c>
      <c r="E14" s="93" t="s">
        <v>134</v>
      </c>
      <c r="F14" s="3">
        <f>VLOOKUP(D14,'Municipal Detail'!$C$141:$F$152,3)</f>
        <v>1549</v>
      </c>
      <c r="G14" s="112">
        <f>VLOOKUP(D14,'Municipal Detail'!$C$141:$F$152,4)</f>
        <v>1.0423395779500431</v>
      </c>
      <c r="H14" s="112">
        <f t="shared" si="0"/>
        <v>1.042485577950043</v>
      </c>
      <c r="I14" s="17">
        <f t="shared" si="1"/>
        <v>8</v>
      </c>
      <c r="J14" s="1" t="str">
        <f t="shared" si="2"/>
        <v>Dementia</v>
      </c>
      <c r="K14" s="112">
        <f t="shared" si="3"/>
        <v>0.85527024117140404</v>
      </c>
    </row>
    <row r="15" spans="3:11" x14ac:dyDescent="0.45">
      <c r="D15" s="111"/>
      <c r="E15" s="93"/>
      <c r="F15" s="3"/>
      <c r="G15" s="112"/>
      <c r="H15" s="112"/>
      <c r="I15" s="17"/>
      <c r="J15" s="1"/>
      <c r="K15" s="112"/>
    </row>
    <row r="16" spans="3:11" x14ac:dyDescent="0.45">
      <c r="D16" s="111"/>
      <c r="E16" s="93"/>
      <c r="F16" s="3"/>
      <c r="G16" s="112"/>
      <c r="H16" s="11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U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6640625" defaultRowHeight="14.25" x14ac:dyDescent="0.45"/>
  <cols>
    <col min="1" max="2" width="1.796875" style="33" customWidth="1"/>
    <col min="3" max="3" width="7.796875" style="33" customWidth="1"/>
    <col min="4" max="4" width="30.06640625" style="33" customWidth="1"/>
    <col min="5" max="6" width="9.9296875" style="33" customWidth="1"/>
    <col min="7" max="7" width="7.33203125" style="33" customWidth="1"/>
    <col min="8" max="9" width="9.9296875" style="33" customWidth="1"/>
    <col min="10" max="14" width="9.06640625" style="33"/>
    <col min="15" max="17" width="9.06640625" style="110"/>
    <col min="18" max="18" width="9.06640625" style="113"/>
    <col min="19" max="21" width="9.06640625" style="110"/>
    <col min="22" max="16384" width="9.06640625" style="33"/>
  </cols>
  <sheetData>
    <row r="1" spans="2:18" ht="24" customHeight="1" x14ac:dyDescent="0.7">
      <c r="C1" s="142" t="s">
        <v>261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8" x14ac:dyDescent="0.45">
      <c r="D2" s="143" t="s">
        <v>267</v>
      </c>
      <c r="E2" s="143"/>
      <c r="F2" s="143"/>
      <c r="G2" s="143"/>
      <c r="H2" s="143"/>
      <c r="I2" s="143"/>
      <c r="J2" s="143"/>
      <c r="K2" s="143"/>
      <c r="L2" s="143"/>
      <c r="M2" s="143"/>
    </row>
    <row r="3" spans="2:18" x14ac:dyDescent="0.45">
      <c r="E3" s="34">
        <f>Infographic!G2</f>
        <v>35</v>
      </c>
      <c r="H3" s="34">
        <v>81</v>
      </c>
    </row>
    <row r="4" spans="2:18" x14ac:dyDescent="0.45">
      <c r="E4" s="141" t="str" cm="1">
        <f t="array" ref="E4">INDEX(R5:R85,E3)</f>
        <v>Kingston</v>
      </c>
      <c r="F4" s="141"/>
      <c r="H4" s="88" t="str" cm="1">
        <f t="array" ref="H4">INDEX(R5:R85,H3)</f>
        <v>Total Victoria</v>
      </c>
    </row>
    <row r="5" spans="2:18" x14ac:dyDescent="0.45">
      <c r="B5" s="35">
        <v>1</v>
      </c>
      <c r="C5" s="35">
        <v>1</v>
      </c>
      <c r="D5" s="36" t="s">
        <v>2</v>
      </c>
      <c r="E5" s="37">
        <f>VLOOKUP(B5,Data!$B$6:$FI$203,3+'Municipal Detail'!$E$3*2-2)</f>
        <v>158129</v>
      </c>
      <c r="F5" s="38"/>
      <c r="H5" s="37">
        <f>VLOOKUP(B5,Data!$B$6:$FI$203,3+'Municipal Detail'!$H$3*2-2)</f>
        <v>6503491</v>
      </c>
      <c r="I5" s="38"/>
      <c r="J5" s="90" t="str">
        <f>CONCATENATE($E$4,": Age")</f>
        <v>Kingston: Age</v>
      </c>
      <c r="R5" s="114" t="s">
        <v>155</v>
      </c>
    </row>
    <row r="6" spans="2:18" x14ac:dyDescent="0.45">
      <c r="B6" s="35">
        <v>2</v>
      </c>
      <c r="C6" s="35">
        <v>2</v>
      </c>
      <c r="D6" s="39"/>
      <c r="E6" s="97" t="s">
        <v>270</v>
      </c>
      <c r="F6" s="98"/>
      <c r="G6" s="99"/>
      <c r="H6" s="97"/>
      <c r="I6" s="98"/>
      <c r="R6" s="114" t="s">
        <v>235</v>
      </c>
    </row>
    <row r="7" spans="2:18" x14ac:dyDescent="0.45">
      <c r="B7" s="35">
        <v>3</v>
      </c>
      <c r="C7" s="35">
        <v>3</v>
      </c>
      <c r="D7" s="36" t="s">
        <v>3</v>
      </c>
      <c r="E7" s="40" t="s">
        <v>254</v>
      </c>
      <c r="F7" s="41" t="s">
        <v>255</v>
      </c>
      <c r="G7" s="42"/>
      <c r="H7" s="40" t="s">
        <v>254</v>
      </c>
      <c r="I7" s="41" t="s">
        <v>255</v>
      </c>
      <c r="R7" s="114" t="s">
        <v>156</v>
      </c>
    </row>
    <row r="8" spans="2:18" x14ac:dyDescent="0.45">
      <c r="B8" s="35">
        <v>4</v>
      </c>
      <c r="C8" s="35">
        <v>4</v>
      </c>
      <c r="D8" s="43" t="s">
        <v>4</v>
      </c>
      <c r="E8" s="44">
        <f>VLOOKUP(B8,Data!$B$6:$FI$203,3+'Municipal Detail'!$E$3*2-2)</f>
        <v>8611</v>
      </c>
      <c r="F8" s="76">
        <f>VLOOKUP(B8,Data!$B$6:$FI$203,3+'Municipal Detail'!$E$3*2-1)</f>
        <v>5.4456228221619334</v>
      </c>
      <c r="H8" s="44">
        <f>VLOOKUP(B8,Data!$B$6:$FI$203,3+'Municipal Detail'!$H$3*2-2)</f>
        <v>375900</v>
      </c>
      <c r="I8" s="81">
        <f>VLOOKUP(B8,Data!$B$6:$FI$203,3+'Municipal Detail'!$H$3*2-1)</f>
        <v>5.7799735219090058</v>
      </c>
      <c r="R8" s="114" t="s">
        <v>157</v>
      </c>
    </row>
    <row r="9" spans="2:18" x14ac:dyDescent="0.45">
      <c r="B9" s="35">
        <v>5</v>
      </c>
      <c r="C9" s="35">
        <v>5</v>
      </c>
      <c r="D9" s="43" t="s">
        <v>5</v>
      </c>
      <c r="E9" s="44">
        <f>VLOOKUP(B9,Data!$B$6:$FI$203,3+'Municipal Detail'!$E$3*2-2)</f>
        <v>27208</v>
      </c>
      <c r="F9" s="76">
        <f>VLOOKUP(B9,Data!$B$6:$FI$203,3+'Municipal Detail'!$E$3*2-1)</f>
        <v>17.20642268556287</v>
      </c>
      <c r="H9" s="44">
        <f>VLOOKUP(B9,Data!$B$6:$FI$203,3+'Municipal Detail'!$H$3*2-2)</f>
        <v>1169456</v>
      </c>
      <c r="I9" s="81">
        <f>VLOOKUP(B9,Data!$B$6:$FI$203,3+'Municipal Detail'!$H$3*2-1)</f>
        <v>17.981975831438195</v>
      </c>
      <c r="R9" s="114" t="s">
        <v>158</v>
      </c>
    </row>
    <row r="10" spans="2:18" x14ac:dyDescent="0.45">
      <c r="B10" s="35">
        <v>6</v>
      </c>
      <c r="C10" s="35">
        <v>6</v>
      </c>
      <c r="D10" s="43" t="s">
        <v>6</v>
      </c>
      <c r="E10" s="44">
        <f>VLOOKUP(B10,Data!$B$6:$FI$203,3+'Municipal Detail'!$E$3*2-2)</f>
        <v>16933</v>
      </c>
      <c r="F10" s="76">
        <f>VLOOKUP(B10,Data!$B$6:$FI$203,3+'Municipal Detail'!$E$3*2-1)</f>
        <v>10.708481157550578</v>
      </c>
      <c r="H10" s="44">
        <f>VLOOKUP(B10,Data!$B$6:$FI$203,3+'Municipal Detail'!$H$3*2-2)</f>
        <v>773538</v>
      </c>
      <c r="I10" s="81">
        <f>VLOOKUP(B10,Data!$B$6:$FI$203,3+'Municipal Detail'!$H$3*2-1)</f>
        <v>11.894198345811249</v>
      </c>
      <c r="R10" s="114" t="s">
        <v>159</v>
      </c>
    </row>
    <row r="11" spans="2:18" x14ac:dyDescent="0.45">
      <c r="B11" s="35">
        <v>7</v>
      </c>
      <c r="C11" s="35">
        <v>7</v>
      </c>
      <c r="D11" s="43" t="s">
        <v>7</v>
      </c>
      <c r="E11" s="44">
        <f>VLOOKUP(B11,Data!$B$6:$FI$203,3+'Municipal Detail'!$E$3*2-2)</f>
        <v>84657</v>
      </c>
      <c r="F11" s="76">
        <f>VLOOKUP(B11,Data!$B$6:$FI$203,3+'Municipal Detail'!$E$3*2-1)</f>
        <v>53.537346563205524</v>
      </c>
      <c r="H11" s="44">
        <f>VLOOKUP(B11,Data!$B$6:$FI$203,3+'Municipal Detail'!$H$3*2-2)</f>
        <v>3467663</v>
      </c>
      <c r="I11" s="81">
        <f>VLOOKUP(B11,Data!$B$6:$FI$203,3+'Municipal Detail'!$H$3*2-1)</f>
        <v>53.320032782398371</v>
      </c>
      <c r="R11" s="114" t="s">
        <v>160</v>
      </c>
    </row>
    <row r="12" spans="2:18" x14ac:dyDescent="0.45">
      <c r="B12" s="35">
        <v>8</v>
      </c>
      <c r="C12" s="35">
        <v>8</v>
      </c>
      <c r="D12" s="43" t="s">
        <v>8</v>
      </c>
      <c r="E12" s="44">
        <f>VLOOKUP(B12,Data!$B$6:$FI$203,3+'Municipal Detail'!$E$3*2-2)</f>
        <v>29329</v>
      </c>
      <c r="F12" s="76">
        <f>VLOOKUP(B12,Data!$B$6:$FI$203,3+'Municipal Detail'!$E$3*2-1)</f>
        <v>18.547749593681029</v>
      </c>
      <c r="H12" s="44">
        <f>VLOOKUP(B12,Data!$B$6:$FI$203,3+'Municipal Detail'!$H$3*2-2)</f>
        <v>1092833</v>
      </c>
      <c r="I12" s="81">
        <f>VLOOKUP(B12,Data!$B$6:$FI$203,3+'Municipal Detail'!$H$3*2-1)</f>
        <v>16.803793040352179</v>
      </c>
      <c r="R12" s="114" t="s">
        <v>161</v>
      </c>
    </row>
    <row r="13" spans="2:18" ht="17.649999999999999" customHeight="1" x14ac:dyDescent="0.45">
      <c r="B13" s="35">
        <v>9</v>
      </c>
      <c r="C13" s="35">
        <v>9</v>
      </c>
      <c r="D13" s="39"/>
      <c r="E13" s="40" t="s">
        <v>254</v>
      </c>
      <c r="F13" s="41" t="s">
        <v>255</v>
      </c>
      <c r="G13" s="42"/>
      <c r="H13" s="40" t="s">
        <v>254</v>
      </c>
      <c r="I13" s="41" t="s">
        <v>255</v>
      </c>
      <c r="R13" s="114" t="s">
        <v>162</v>
      </c>
    </row>
    <row r="14" spans="2:18" x14ac:dyDescent="0.45">
      <c r="B14" s="35">
        <v>10</v>
      </c>
      <c r="C14" s="35">
        <v>10</v>
      </c>
      <c r="D14" s="46" t="s">
        <v>9</v>
      </c>
      <c r="E14" s="44">
        <f>VLOOKUP(B14,Data!$B$6:$FI$203,3+'Municipal Detail'!$E$3*2-2)</f>
        <v>722</v>
      </c>
      <c r="F14" s="45">
        <f>VLOOKUP(B14,Data!$B$6:$FI$203,3+'Municipal Detail'!$E$3*2-1)</f>
        <v>0.47047784127563358</v>
      </c>
      <c r="H14" s="44">
        <f>VLOOKUP(B14,Data!$B$6:$FI$203,3+'Municipal Detail'!$H$3*2-2)</f>
        <v>65646</v>
      </c>
      <c r="I14" s="45">
        <f>VLOOKUP(B14,Data!$B$6:$FI$203,3+'Municipal Detail'!$H$3*2-1)</f>
        <v>1.0564492067216471</v>
      </c>
      <c r="R14" s="114" t="s">
        <v>163</v>
      </c>
    </row>
    <row r="15" spans="2:18" x14ac:dyDescent="0.45">
      <c r="B15" s="35">
        <v>11</v>
      </c>
      <c r="C15" s="35">
        <v>11</v>
      </c>
      <c r="D15" s="39"/>
      <c r="E15" s="37"/>
      <c r="F15" s="38"/>
      <c r="H15" s="37"/>
      <c r="I15" s="38"/>
      <c r="R15" s="114" t="s">
        <v>164</v>
      </c>
    </row>
    <row r="16" spans="2:18" x14ac:dyDescent="0.45">
      <c r="B16" s="35">
        <v>12</v>
      </c>
      <c r="C16" s="35">
        <v>12</v>
      </c>
      <c r="D16" s="46" t="s">
        <v>10</v>
      </c>
      <c r="E16" s="40" t="s">
        <v>254</v>
      </c>
      <c r="F16" s="41" t="s">
        <v>255</v>
      </c>
      <c r="G16" s="42"/>
      <c r="H16" s="40" t="s">
        <v>254</v>
      </c>
      <c r="I16" s="41" t="s">
        <v>255</v>
      </c>
      <c r="J16" s="90" t="str">
        <f>CONCATENATE($E$4,": Overseas Birthplaces")</f>
        <v>Kingston: Overseas Birthplaces</v>
      </c>
      <c r="R16" s="114" t="s">
        <v>165</v>
      </c>
    </row>
    <row r="17" spans="2:18" x14ac:dyDescent="0.45">
      <c r="B17" s="35">
        <v>13</v>
      </c>
      <c r="C17" s="35">
        <v>13</v>
      </c>
      <c r="D17" s="47" t="str">
        <f>Mid!L5</f>
        <v>Australia</v>
      </c>
      <c r="E17" s="48">
        <f>Mid!M5</f>
        <v>102579</v>
      </c>
      <c r="F17" s="76">
        <f>Mid!N5</f>
        <v>67.010935601458073</v>
      </c>
      <c r="H17" s="44">
        <f>Mid!Q5</f>
        <v>4228686</v>
      </c>
      <c r="I17" s="81">
        <f>Mid!R5</f>
        <v>68.419660309750981</v>
      </c>
      <c r="R17" s="114" t="s">
        <v>166</v>
      </c>
    </row>
    <row r="18" spans="2:18" x14ac:dyDescent="0.45">
      <c r="B18" s="35">
        <v>14</v>
      </c>
      <c r="C18" s="35">
        <v>14</v>
      </c>
      <c r="D18" s="49" t="str">
        <f>Mid!L6</f>
        <v>England</v>
      </c>
      <c r="E18" s="48">
        <f>Mid!M6</f>
        <v>6117</v>
      </c>
      <c r="F18" s="76">
        <f>Mid!N6</f>
        <v>3.9960020381766159</v>
      </c>
      <c r="H18" s="44">
        <f>Mid!Q6</f>
        <v>174552</v>
      </c>
      <c r="I18" s="81">
        <f>Mid!R6</f>
        <v>2.8242315807765475</v>
      </c>
      <c r="R18" s="114" t="s">
        <v>167</v>
      </c>
    </row>
    <row r="19" spans="2:18" x14ac:dyDescent="0.45">
      <c r="B19" s="35">
        <v>15</v>
      </c>
      <c r="C19" s="35">
        <v>15</v>
      </c>
      <c r="D19" s="49" t="str">
        <f>Mid!L7</f>
        <v>India</v>
      </c>
      <c r="E19" s="48">
        <f>Mid!M7</f>
        <v>5712</v>
      </c>
      <c r="F19" s="76">
        <f>Mid!N7</f>
        <v>3.7314310351585465</v>
      </c>
      <c r="H19" s="44">
        <f>Mid!Q7</f>
        <v>258193</v>
      </c>
      <c r="I19" s="81">
        <f>Mid!R7</f>
        <v>4.177533483062005</v>
      </c>
      <c r="R19" s="114" t="s">
        <v>168</v>
      </c>
    </row>
    <row r="20" spans="2:18" x14ac:dyDescent="0.45">
      <c r="B20" s="35">
        <v>16</v>
      </c>
      <c r="C20" s="35">
        <v>16</v>
      </c>
      <c r="D20" s="49" t="str">
        <f>Mid!L8</f>
        <v>China</v>
      </c>
      <c r="E20" s="48">
        <f>Mid!M8</f>
        <v>4449</v>
      </c>
      <c r="F20" s="76">
        <f>Mid!N8</f>
        <v>2.9063614627836789</v>
      </c>
      <c r="H20" s="44">
        <f>Mid!Q8</f>
        <v>171447</v>
      </c>
      <c r="I20" s="81">
        <f>Mid!R8</f>
        <v>2.7739930326171955</v>
      </c>
      <c r="R20" s="114" t="s">
        <v>297</v>
      </c>
    </row>
    <row r="21" spans="2:18" x14ac:dyDescent="0.45">
      <c r="B21" s="35">
        <v>17</v>
      </c>
      <c r="C21" s="35">
        <v>17</v>
      </c>
      <c r="D21" s="49" t="str">
        <f>Mid!L9</f>
        <v>Greece</v>
      </c>
      <c r="E21" s="48">
        <f>Mid!M9</f>
        <v>2962</v>
      </c>
      <c r="F21" s="76">
        <f>Mid!N9</f>
        <v>1.9349612615790643</v>
      </c>
      <c r="H21" s="44">
        <f>Mid!Q9</f>
        <v>46623</v>
      </c>
      <c r="I21" s="81">
        <f>Mid!R9</f>
        <v>0.75435485695119486</v>
      </c>
      <c r="R21" s="114" t="s">
        <v>170</v>
      </c>
    </row>
    <row r="22" spans="2:18" x14ac:dyDescent="0.45">
      <c r="B22" s="35">
        <v>18</v>
      </c>
      <c r="C22" s="35">
        <v>18</v>
      </c>
      <c r="D22" s="49" t="str">
        <f>Mid!L10</f>
        <v>New Zealand</v>
      </c>
      <c r="E22" s="48">
        <f>Mid!M10</f>
        <v>2369</v>
      </c>
      <c r="F22" s="76">
        <f>Mid!N10</f>
        <v>1.5475770522217431</v>
      </c>
      <c r="H22" s="44">
        <f>Mid!Q10</f>
        <v>99344</v>
      </c>
      <c r="I22" s="81">
        <f>Mid!R10</f>
        <v>1.6073746629122858</v>
      </c>
      <c r="R22" s="114" t="s">
        <v>171</v>
      </c>
    </row>
    <row r="23" spans="2:18" x14ac:dyDescent="0.45">
      <c r="B23" s="35">
        <v>19</v>
      </c>
      <c r="C23" s="35">
        <v>19</v>
      </c>
      <c r="D23" s="49" t="str">
        <f>Mid!L11</f>
        <v>Vietnam</v>
      </c>
      <c r="E23" s="48">
        <f>Mid!M11</f>
        <v>1640</v>
      </c>
      <c r="F23" s="76">
        <f>Mid!N11</f>
        <v>1.0713492467892185</v>
      </c>
      <c r="H23" s="44">
        <f>Mid!Q11</f>
        <v>93598</v>
      </c>
      <c r="I23" s="81">
        <f>Mid!R11</f>
        <v>1.5144050340157846</v>
      </c>
      <c r="R23" s="114" t="s">
        <v>172</v>
      </c>
    </row>
    <row r="24" spans="2:18" x14ac:dyDescent="0.45">
      <c r="B24" s="35">
        <v>20</v>
      </c>
      <c r="C24" s="35">
        <v>20</v>
      </c>
      <c r="D24" s="49" t="str">
        <f>Mid!L12</f>
        <v>Sri Lanka</v>
      </c>
      <c r="E24" s="48">
        <f>Mid!M12</f>
        <v>1576</v>
      </c>
      <c r="F24" s="76">
        <f>Mid!N12</f>
        <v>1.0295404956950052</v>
      </c>
      <c r="H24" s="44">
        <f>Mid!Q12</f>
        <v>68066</v>
      </c>
      <c r="I24" s="81">
        <f>Mid!R12</f>
        <v>1.1013001671544094</v>
      </c>
      <c r="R24" s="114" t="s">
        <v>173</v>
      </c>
    </row>
    <row r="25" spans="2:18" x14ac:dyDescent="0.45">
      <c r="B25" s="35">
        <v>21</v>
      </c>
      <c r="C25" s="35">
        <v>21</v>
      </c>
      <c r="D25" s="49" t="str">
        <f>Mid!L13</f>
        <v>South Africa</v>
      </c>
      <c r="E25" s="48">
        <f>Mid!M13</f>
        <v>1469</v>
      </c>
      <c r="F25" s="76">
        <f>Mid!N13</f>
        <v>0.95964148995936716</v>
      </c>
      <c r="H25" s="44">
        <f>Mid!Q13</f>
        <v>31274</v>
      </c>
      <c r="I25" s="81">
        <f>Mid!R13</f>
        <v>0.5060097762111333</v>
      </c>
      <c r="R25" s="114" t="s">
        <v>298</v>
      </c>
    </row>
    <row r="26" spans="2:18" x14ac:dyDescent="0.45">
      <c r="B26" s="35">
        <v>22</v>
      </c>
      <c r="C26" s="35">
        <v>22</v>
      </c>
      <c r="D26" s="49" t="str">
        <f>Mid!L14</f>
        <v>Philippines</v>
      </c>
      <c r="E26" s="48">
        <f>Mid!M14</f>
        <v>1456</v>
      </c>
      <c r="F26" s="76">
        <f>Mid!N14</f>
        <v>0.95114908739335502</v>
      </c>
      <c r="H26" s="44">
        <f>Mid!Q14</f>
        <v>68463</v>
      </c>
      <c r="I26" s="81">
        <f>Mid!R14</f>
        <v>1.1077235821686646</v>
      </c>
      <c r="R26" s="114" t="s">
        <v>175</v>
      </c>
    </row>
    <row r="27" spans="2:18" x14ac:dyDescent="0.45">
      <c r="B27" s="35">
        <v>23</v>
      </c>
      <c r="C27" s="35">
        <v>23</v>
      </c>
      <c r="D27" s="49" t="str">
        <f>Mid!L15</f>
        <v>Italy</v>
      </c>
      <c r="E27" s="48">
        <f>Mid!M15</f>
        <v>1440</v>
      </c>
      <c r="F27" s="76">
        <f>Mid!N15</f>
        <v>0.94069689961980163</v>
      </c>
      <c r="H27" s="44">
        <f>Mid!Q15</f>
        <v>64796</v>
      </c>
      <c r="I27" s="81">
        <f>Mid!R15</f>
        <v>1.0483919376919035</v>
      </c>
      <c r="R27" s="114" t="s">
        <v>176</v>
      </c>
    </row>
    <row r="28" spans="2:18" x14ac:dyDescent="0.45">
      <c r="B28" s="35">
        <v>24</v>
      </c>
      <c r="C28" s="35">
        <v>24</v>
      </c>
      <c r="D28" s="49" t="str">
        <f>Mid!L16</f>
        <v>Scotland</v>
      </c>
      <c r="E28" s="48">
        <f>Mid!M16</f>
        <v>1045</v>
      </c>
      <c r="F28" s="76">
        <f>Mid!N16</f>
        <v>0.68265851396020327</v>
      </c>
      <c r="H28" s="44">
        <f>Mid!Q16</f>
        <v>25771</v>
      </c>
      <c r="I28" s="81">
        <f>Mid!R16</f>
        <v>0.4169718597792772</v>
      </c>
      <c r="R28" s="114" t="s">
        <v>177</v>
      </c>
    </row>
    <row r="29" spans="2:18" x14ac:dyDescent="0.45">
      <c r="B29" s="35">
        <v>25</v>
      </c>
      <c r="C29" s="35">
        <v>25</v>
      </c>
      <c r="D29" s="49" t="str">
        <f>Mid!L17</f>
        <v>Cambodia</v>
      </c>
      <c r="E29" s="48">
        <f>Mid!M17</f>
        <v>951</v>
      </c>
      <c r="F29" s="76">
        <f>Mid!N17</f>
        <v>0.62125191079057729</v>
      </c>
      <c r="H29" s="44">
        <f>Mid!Q17</f>
        <v>16758</v>
      </c>
      <c r="I29" s="81">
        <f>Mid!R17</f>
        <v>0.27114254108032781</v>
      </c>
      <c r="R29" s="114" t="s">
        <v>178</v>
      </c>
    </row>
    <row r="30" spans="2:18" x14ac:dyDescent="0.45">
      <c r="B30" s="35">
        <v>26</v>
      </c>
      <c r="C30" s="35">
        <v>26</v>
      </c>
      <c r="D30" s="49" t="str">
        <f>Mid!L18</f>
        <v>Malaysia</v>
      </c>
      <c r="E30" s="48">
        <f>Mid!M18</f>
        <v>946</v>
      </c>
      <c r="F30" s="76">
        <f>Mid!N18</f>
        <v>0.6179856021113419</v>
      </c>
      <c r="H30" s="44">
        <f>Mid!Q18</f>
        <v>62662</v>
      </c>
      <c r="I30" s="81">
        <f>Mid!R18</f>
        <v>1.0138640595044457</v>
      </c>
      <c r="R30" s="114" t="s">
        <v>179</v>
      </c>
    </row>
    <row r="31" spans="2:18" x14ac:dyDescent="0.45">
      <c r="B31" s="35">
        <v>27</v>
      </c>
      <c r="C31" s="35">
        <v>27</v>
      </c>
      <c r="D31" s="49" t="str">
        <f>Mid!L19</f>
        <v>Ireland</v>
      </c>
      <c r="E31" s="48">
        <f>Mid!M19</f>
        <v>792</v>
      </c>
      <c r="F31" s="76">
        <f>Mid!N19</f>
        <v>0.51738329479089096</v>
      </c>
      <c r="H31" s="44">
        <f>Mid!Q19</f>
        <v>17456</v>
      </c>
      <c r="I31" s="81">
        <f>Mid!R19</f>
        <v>0.28243610198700336</v>
      </c>
      <c r="R31" s="114" t="s">
        <v>180</v>
      </c>
    </row>
    <row r="32" spans="2:18" x14ac:dyDescent="0.45">
      <c r="B32" s="35">
        <v>28</v>
      </c>
      <c r="C32" s="35">
        <v>28</v>
      </c>
      <c r="D32" s="49" t="str">
        <f>Mid!L20</f>
        <v>Germany</v>
      </c>
      <c r="E32" s="48">
        <f>Mid!M20</f>
        <v>753</v>
      </c>
      <c r="F32" s="76">
        <f>Mid!N20</f>
        <v>0.49190608709285466</v>
      </c>
      <c r="H32" s="44">
        <f>Mid!Q20</f>
        <v>25365</v>
      </c>
      <c r="I32" s="81">
        <f>Mid!R20</f>
        <v>0.41040282578484988</v>
      </c>
      <c r="R32" s="114" t="s">
        <v>181</v>
      </c>
    </row>
    <row r="33" spans="2:18" x14ac:dyDescent="0.45">
      <c r="B33" s="35">
        <v>29</v>
      </c>
      <c r="C33" s="35">
        <v>29</v>
      </c>
      <c r="D33" s="49" t="str">
        <f>Mid!L21</f>
        <v>Mauritius</v>
      </c>
      <c r="E33" s="48">
        <f>Mid!M21</f>
        <v>665</v>
      </c>
      <c r="F33" s="76">
        <f>Mid!N21</f>
        <v>0.43441905433831113</v>
      </c>
      <c r="H33" s="44">
        <f>Mid!Q21</f>
        <v>12341</v>
      </c>
      <c r="I33" s="81">
        <f>Mid!R21</f>
        <v>0.19967598158923053</v>
      </c>
      <c r="R33" s="114" t="s">
        <v>182</v>
      </c>
    </row>
    <row r="34" spans="2:18" x14ac:dyDescent="0.45">
      <c r="B34" s="35">
        <v>30</v>
      </c>
      <c r="C34" s="35">
        <v>30</v>
      </c>
      <c r="D34" s="49" t="str">
        <f>Mid!L22</f>
        <v>USA</v>
      </c>
      <c r="E34" s="48">
        <f>Mid!M22</f>
        <v>656</v>
      </c>
      <c r="F34" s="76">
        <f>Mid!N22</f>
        <v>0.42853969871568742</v>
      </c>
      <c r="H34" s="44">
        <f>Mid!Q22</f>
        <v>23964</v>
      </c>
      <c r="I34" s="81">
        <f>Mid!R22</f>
        <v>0.38773480453806991</v>
      </c>
      <c r="R34" s="114" t="s">
        <v>183</v>
      </c>
    </row>
    <row r="35" spans="2:18" x14ac:dyDescent="0.45">
      <c r="B35" s="35">
        <v>31</v>
      </c>
      <c r="C35" s="35">
        <v>31</v>
      </c>
      <c r="D35" s="49" t="str">
        <f>Mid!L23</f>
        <v>Poland</v>
      </c>
      <c r="E35" s="48">
        <f>Mid!M23</f>
        <v>638</v>
      </c>
      <c r="F35" s="76">
        <f>Mid!N23</f>
        <v>0.4167809874704399</v>
      </c>
      <c r="H35" s="44">
        <f>Mid!Q23</f>
        <v>14202</v>
      </c>
      <c r="I35" s="81">
        <f>Mid!R23</f>
        <v>0.22978675071147009</v>
      </c>
      <c r="R35" s="114" t="s">
        <v>184</v>
      </c>
    </row>
    <row r="36" spans="2:18" x14ac:dyDescent="0.45">
      <c r="B36" s="35">
        <v>32</v>
      </c>
      <c r="C36" s="35">
        <v>32</v>
      </c>
      <c r="D36" s="49" t="str">
        <f>Mid!L24</f>
        <v>Turkey</v>
      </c>
      <c r="E36" s="48">
        <f>Mid!M24</f>
        <v>600</v>
      </c>
      <c r="F36" s="76">
        <f>Mid!N24</f>
        <v>0.39195704150825073</v>
      </c>
      <c r="H36" s="44">
        <f>Mid!Q24</f>
        <v>18689</v>
      </c>
      <c r="I36" s="81">
        <f>Mid!R24</f>
        <v>0.30238590227057205</v>
      </c>
      <c r="R36" s="114" t="s">
        <v>185</v>
      </c>
    </row>
    <row r="37" spans="2:18" x14ac:dyDescent="0.45">
      <c r="B37" s="35">
        <v>33</v>
      </c>
      <c r="C37" s="35">
        <v>33</v>
      </c>
      <c r="D37" s="49" t="str">
        <f>Mid!L25</f>
        <v>Thailand</v>
      </c>
      <c r="E37" s="48">
        <f>Mid!M25</f>
        <v>511</v>
      </c>
      <c r="F37" s="76">
        <f>Mid!N25</f>
        <v>0.33381674701786018</v>
      </c>
      <c r="H37" s="44">
        <f>Mid!Q25</f>
        <v>21059</v>
      </c>
      <c r="I37" s="81">
        <f>Mid!R25</f>
        <v>0.34073223371587441</v>
      </c>
      <c r="R37" s="114" t="s">
        <v>186</v>
      </c>
    </row>
    <row r="38" spans="2:18" x14ac:dyDescent="0.45">
      <c r="B38" s="35">
        <v>34</v>
      </c>
      <c r="C38" s="35">
        <v>34</v>
      </c>
      <c r="D38" s="49" t="str">
        <f>Mid!L26</f>
        <v>Hong Kong</v>
      </c>
      <c r="E38" s="48">
        <f>Mid!M26</f>
        <v>500</v>
      </c>
      <c r="F38" s="76">
        <f>Mid!N26</f>
        <v>0.32663086792354223</v>
      </c>
      <c r="H38" s="44">
        <f>Mid!Q26</f>
        <v>25324</v>
      </c>
      <c r="I38" s="81">
        <f>Mid!R26</f>
        <v>0.40973945043073284</v>
      </c>
      <c r="R38" s="114" t="s">
        <v>187</v>
      </c>
    </row>
    <row r="39" spans="2:18" x14ac:dyDescent="0.45">
      <c r="B39" s="35">
        <v>35</v>
      </c>
      <c r="C39" s="35">
        <v>35</v>
      </c>
      <c r="D39" s="49" t="str">
        <f>Mid!L27</f>
        <v>Croatia</v>
      </c>
      <c r="E39" s="48">
        <f>Mid!M27</f>
        <v>423</v>
      </c>
      <c r="F39" s="76">
        <f>Mid!N27</f>
        <v>0.27632971426331676</v>
      </c>
      <c r="H39" s="44">
        <f>Mid!Q27</f>
        <v>15260</v>
      </c>
      <c r="I39" s="81">
        <f>Mid!R27</f>
        <v>0.246905070825027</v>
      </c>
      <c r="R39" s="114" t="s">
        <v>188</v>
      </c>
    </row>
    <row r="40" spans="2:18" x14ac:dyDescent="0.45">
      <c r="B40" s="35">
        <v>36</v>
      </c>
      <c r="C40" s="35">
        <v>36</v>
      </c>
      <c r="D40" s="49" t="str">
        <f>Mid!L28</f>
        <v>Egypt</v>
      </c>
      <c r="E40" s="48">
        <f>Mid!M28</f>
        <v>396</v>
      </c>
      <c r="F40" s="76">
        <f>Mid!N28</f>
        <v>0.25869164739544548</v>
      </c>
      <c r="H40" s="44">
        <f>Mid!Q28</f>
        <v>14085</v>
      </c>
      <c r="I40" s="81">
        <f>Mid!R28</f>
        <v>0.22789370396923361</v>
      </c>
      <c r="R40" s="114" t="s">
        <v>189</v>
      </c>
    </row>
    <row r="41" spans="2:18" x14ac:dyDescent="0.45">
      <c r="B41" s="35">
        <v>37</v>
      </c>
      <c r="C41" s="35">
        <v>37</v>
      </c>
      <c r="D41" s="49" t="str">
        <f>Mid!L29</f>
        <v>Netherlands</v>
      </c>
      <c r="E41" s="48">
        <f>Mid!M29</f>
        <v>378</v>
      </c>
      <c r="F41" s="76">
        <f>Mid!N29</f>
        <v>0.24693293615019796</v>
      </c>
      <c r="H41" s="44">
        <f>Mid!Q29</f>
        <v>18477</v>
      </c>
      <c r="I41" s="81">
        <f>Mid!R29</f>
        <v>0.29895576629318632</v>
      </c>
      <c r="R41" s="114" t="s">
        <v>190</v>
      </c>
    </row>
    <row r="42" spans="2:18" x14ac:dyDescent="0.45">
      <c r="B42" s="35">
        <v>38</v>
      </c>
      <c r="C42" s="35">
        <v>38</v>
      </c>
      <c r="D42" s="49" t="str">
        <f>Mid!L30</f>
        <v>Korea, South</v>
      </c>
      <c r="E42" s="48">
        <f>Mid!M30</f>
        <v>361</v>
      </c>
      <c r="F42" s="76">
        <f>Mid!N30</f>
        <v>0.2358274866407975</v>
      </c>
      <c r="H42" s="44">
        <f>Mid!Q30</f>
        <v>15429</v>
      </c>
      <c r="I42" s="81">
        <f>Mid!R30</f>
        <v>0.24963947167492406</v>
      </c>
      <c r="R42" s="114" t="s">
        <v>191</v>
      </c>
    </row>
    <row r="43" spans="2:18" x14ac:dyDescent="0.45">
      <c r="B43" s="35">
        <v>39</v>
      </c>
      <c r="C43" s="35">
        <v>39</v>
      </c>
      <c r="D43" s="49" t="str">
        <f>Mid!L31</f>
        <v>Canada</v>
      </c>
      <c r="E43" s="48">
        <f>Mid!M31</f>
        <v>360</v>
      </c>
      <c r="F43" s="76">
        <f>Mid!N31</f>
        <v>0.23517422490495041</v>
      </c>
      <c r="H43" s="44">
        <f>Mid!Q31</f>
        <v>10438</v>
      </c>
      <c r="I43" s="81">
        <f>Mid!R31</f>
        <v>0.16888565722618817</v>
      </c>
      <c r="R43" s="114" t="s">
        <v>192</v>
      </c>
    </row>
    <row r="44" spans="2:18" x14ac:dyDescent="0.45">
      <c r="B44" s="35">
        <v>40</v>
      </c>
      <c r="C44" s="35">
        <v>40</v>
      </c>
      <c r="D44" s="49" t="str">
        <f>Mid!L32</f>
        <v>Japan</v>
      </c>
      <c r="E44" s="48">
        <f>Mid!M32</f>
        <v>355</v>
      </c>
      <c r="F44" s="76">
        <f>Mid!N32</f>
        <v>0.23190791622571499</v>
      </c>
      <c r="H44" s="44">
        <f>Mid!Q32</f>
        <v>9251</v>
      </c>
      <c r="I44" s="81">
        <f>Mid!R32</f>
        <v>0.14968013173016545</v>
      </c>
      <c r="R44" s="114" t="s">
        <v>193</v>
      </c>
    </row>
    <row r="45" spans="2:18" x14ac:dyDescent="0.45">
      <c r="B45" s="35">
        <v>41</v>
      </c>
      <c r="C45" s="35">
        <v>41</v>
      </c>
      <c r="D45" s="49" t="str">
        <f>Mid!L33</f>
        <v>Singapore</v>
      </c>
      <c r="E45" s="48">
        <f>Mid!M33</f>
        <v>342</v>
      </c>
      <c r="F45" s="76">
        <f>Mid!N33</f>
        <v>0.22341551365970291</v>
      </c>
      <c r="H45" s="44">
        <f>Mid!Q33</f>
        <v>17954</v>
      </c>
      <c r="I45" s="81">
        <f>Mid!R33</f>
        <v>0.29049368555652255</v>
      </c>
      <c r="R45" s="114" t="s">
        <v>194</v>
      </c>
    </row>
    <row r="46" spans="2:18" x14ac:dyDescent="0.45">
      <c r="B46" s="35">
        <v>42</v>
      </c>
      <c r="C46" s="35">
        <v>42</v>
      </c>
      <c r="D46" s="49" t="str">
        <f>Mid!L34</f>
        <v>Lebanon</v>
      </c>
      <c r="E46" s="48">
        <f>Mid!M34</f>
        <v>340</v>
      </c>
      <c r="F46" s="76">
        <f>Mid!N34</f>
        <v>0.22210899018800875</v>
      </c>
      <c r="H46" s="44">
        <f>Mid!Q34</f>
        <v>18689</v>
      </c>
      <c r="I46" s="81">
        <f>Mid!R34</f>
        <v>0.30238590227057205</v>
      </c>
      <c r="R46" s="114" t="s">
        <v>195</v>
      </c>
    </row>
    <row r="47" spans="2:18" x14ac:dyDescent="0.45">
      <c r="B47" s="35">
        <v>43</v>
      </c>
      <c r="C47" s="35">
        <v>43</v>
      </c>
      <c r="D47" s="49" t="str">
        <f>Mid!L35</f>
        <v>Indonesia</v>
      </c>
      <c r="E47" s="48">
        <f>Mid!M35</f>
        <v>335</v>
      </c>
      <c r="F47" s="76">
        <f>Mid!N35</f>
        <v>0.21884268150877331</v>
      </c>
      <c r="H47" s="44">
        <f>Mid!Q35</f>
        <v>20643</v>
      </c>
      <c r="I47" s="81">
        <f>Mid!R35</f>
        <v>0.33400140085458924</v>
      </c>
      <c r="R47" s="114" t="s">
        <v>196</v>
      </c>
    </row>
    <row r="48" spans="2:18" x14ac:dyDescent="0.45">
      <c r="B48" s="35">
        <v>44</v>
      </c>
      <c r="C48" s="35">
        <v>44</v>
      </c>
      <c r="D48" s="49" t="str">
        <f>Mid!L36</f>
        <v>Fiji</v>
      </c>
      <c r="E48" s="48">
        <f>Mid!M36</f>
        <v>320</v>
      </c>
      <c r="F48" s="76">
        <f>Mid!N36</f>
        <v>0.20904375547106702</v>
      </c>
      <c r="H48" s="44">
        <f>Mid!Q36</f>
        <v>12435</v>
      </c>
      <c r="I48" s="81">
        <f>Mid!R36</f>
        <v>0.201196890937694</v>
      </c>
      <c r="R48" s="114" t="s">
        <v>197</v>
      </c>
    </row>
    <row r="49" spans="2:18" x14ac:dyDescent="0.45">
      <c r="B49" s="35">
        <v>45</v>
      </c>
      <c r="C49" s="35">
        <v>45</v>
      </c>
      <c r="D49" s="49" t="str">
        <f>Mid!L37</f>
        <v>Chile</v>
      </c>
      <c r="E49" s="48">
        <f>Mid!M37</f>
        <v>266</v>
      </c>
      <c r="F49" s="76">
        <f>Mid!N37</f>
        <v>0.17376762173532448</v>
      </c>
      <c r="H49" s="44">
        <f>Mid!Q37</f>
        <v>8296</v>
      </c>
      <c r="I49" s="81">
        <f>Mid!R37</f>
        <v>0.13422833994524402</v>
      </c>
      <c r="R49" s="114" t="s">
        <v>198</v>
      </c>
    </row>
    <row r="50" spans="2:18" x14ac:dyDescent="0.45">
      <c r="B50" s="35">
        <v>46</v>
      </c>
      <c r="C50" s="35">
        <v>46</v>
      </c>
      <c r="D50" s="49" t="str">
        <f>Mid!L38</f>
        <v>France</v>
      </c>
      <c r="E50" s="48">
        <f>Mid!M38</f>
        <v>262</v>
      </c>
      <c r="F50" s="76">
        <f>Mid!N38</f>
        <v>0.17115457479193613</v>
      </c>
      <c r="H50" s="44">
        <f>Mid!Q38</f>
        <v>8073</v>
      </c>
      <c r="I50" s="81">
        <f>Mid!R38</f>
        <v>0.13062022521431474</v>
      </c>
      <c r="R50" s="114" t="s">
        <v>199</v>
      </c>
    </row>
    <row r="51" spans="2:18" x14ac:dyDescent="0.45">
      <c r="B51" s="35">
        <v>47</v>
      </c>
      <c r="C51" s="35">
        <v>47</v>
      </c>
      <c r="D51" s="49" t="str">
        <f>Mid!L39</f>
        <v>Nepal</v>
      </c>
      <c r="E51" s="48">
        <f>Mid!M39</f>
        <v>240</v>
      </c>
      <c r="F51" s="76">
        <f>Mid!N39</f>
        <v>0.15678281660330026</v>
      </c>
      <c r="H51" s="44">
        <f>Mid!Q39</f>
        <v>20154</v>
      </c>
      <c r="I51" s="81">
        <f>Mid!R39</f>
        <v>0.32608943626524206</v>
      </c>
      <c r="R51" s="114" t="s">
        <v>200</v>
      </c>
    </row>
    <row r="52" spans="2:18" x14ac:dyDescent="0.45">
      <c r="B52" s="35">
        <v>48</v>
      </c>
      <c r="C52" s="35">
        <v>48</v>
      </c>
      <c r="D52" s="49" t="str">
        <f>Mid!L40</f>
        <v>Brazil</v>
      </c>
      <c r="E52" s="48">
        <f>Mid!M40</f>
        <v>232</v>
      </c>
      <c r="F52" s="76">
        <f>Mid!N40</f>
        <v>0.1515567227165236</v>
      </c>
      <c r="H52" s="44">
        <f>Mid!Q40</f>
        <v>5874</v>
      </c>
      <c r="I52" s="81">
        <f>Mid!R40</f>
        <v>9.5040654392281029E-2</v>
      </c>
      <c r="R52" s="114" t="s">
        <v>201</v>
      </c>
    </row>
    <row r="53" spans="2:18" x14ac:dyDescent="0.45">
      <c r="B53" s="35">
        <v>49</v>
      </c>
      <c r="C53" s="35">
        <v>49</v>
      </c>
      <c r="D53" s="49" t="str">
        <f>Mid!L41</f>
        <v>Bosnia</v>
      </c>
      <c r="E53" s="48">
        <f>Mid!M41</f>
        <v>225</v>
      </c>
      <c r="F53" s="76">
        <f>Mid!N41</f>
        <v>0.14698389056559399</v>
      </c>
      <c r="H53" s="44">
        <f>Mid!Q41</f>
        <v>9193</v>
      </c>
      <c r="I53" s="81">
        <f>Mid!R41</f>
        <v>0.14874169830239012</v>
      </c>
      <c r="R53" s="114" t="s">
        <v>202</v>
      </c>
    </row>
    <row r="54" spans="2:18" x14ac:dyDescent="0.45">
      <c r="B54" s="35">
        <v>50</v>
      </c>
      <c r="C54" s="35">
        <v>50</v>
      </c>
      <c r="D54" s="49" t="str">
        <f>Mid!L42</f>
        <v>Iran</v>
      </c>
      <c r="E54" s="48">
        <f>Mid!M42</f>
        <v>212</v>
      </c>
      <c r="F54" s="76">
        <f>Mid!N42</f>
        <v>0.13849148799958191</v>
      </c>
      <c r="H54" s="44">
        <f>Mid!Q42</f>
        <v>21923</v>
      </c>
      <c r="I54" s="81">
        <f>Mid!R42</f>
        <v>0.35471165581238967</v>
      </c>
      <c r="R54" s="114" t="s">
        <v>203</v>
      </c>
    </row>
    <row r="55" spans="2:18" x14ac:dyDescent="0.45">
      <c r="B55" s="35">
        <v>51</v>
      </c>
      <c r="C55" s="35">
        <v>51</v>
      </c>
      <c r="D55" s="49" t="str">
        <f>Mid!L43</f>
        <v>Pakistan</v>
      </c>
      <c r="E55" s="48">
        <f>Mid!M43</f>
        <v>209</v>
      </c>
      <c r="F55" s="76">
        <f>Mid!N43</f>
        <v>0.13653170279204066</v>
      </c>
      <c r="H55" s="44">
        <f>Mid!Q43</f>
        <v>30945</v>
      </c>
      <c r="I55" s="81">
        <f>Mid!R43</f>
        <v>0.50068659349151112</v>
      </c>
      <c r="R55" s="114" t="s">
        <v>204</v>
      </c>
    </row>
    <row r="56" spans="2:18" x14ac:dyDescent="0.45">
      <c r="B56" s="35">
        <v>52</v>
      </c>
      <c r="C56" s="35">
        <v>52</v>
      </c>
      <c r="D56" s="49" t="str">
        <f>Mid!L44</f>
        <v>Taiwan</v>
      </c>
      <c r="E56" s="48">
        <f>Mid!M44</f>
        <v>179</v>
      </c>
      <c r="F56" s="76">
        <f>Mid!N44</f>
        <v>0.11693385071662812</v>
      </c>
      <c r="H56" s="44">
        <f>Mid!Q44</f>
        <v>10719</v>
      </c>
      <c r="I56" s="81">
        <f>Mid!R44</f>
        <v>0.17343220538489282</v>
      </c>
      <c r="R56" s="114" t="s">
        <v>205</v>
      </c>
    </row>
    <row r="57" spans="2:18" x14ac:dyDescent="0.45">
      <c r="B57" s="35">
        <v>53</v>
      </c>
      <c r="C57" s="35">
        <v>53</v>
      </c>
      <c r="D57" s="49" t="str">
        <f>Mid!L45</f>
        <v>Bangladesh</v>
      </c>
      <c r="E57" s="48">
        <f>Mid!M45</f>
        <v>170</v>
      </c>
      <c r="F57" s="76">
        <f>Mid!N45</f>
        <v>0.11105449509400438</v>
      </c>
      <c r="H57" s="44">
        <f>Mid!Q45</f>
        <v>10295</v>
      </c>
      <c r="I57" s="81">
        <f>Mid!R45</f>
        <v>0.16657193343012142</v>
      </c>
      <c r="R57" s="114" t="s">
        <v>206</v>
      </c>
    </row>
    <row r="58" spans="2:18" x14ac:dyDescent="0.45">
      <c r="B58" s="35">
        <v>54</v>
      </c>
      <c r="C58" s="35">
        <v>54</v>
      </c>
      <c r="D58" s="49" t="str">
        <f>Mid!L46</f>
        <v>Wales</v>
      </c>
      <c r="E58" s="48">
        <f>Mid!M46</f>
        <v>169</v>
      </c>
      <c r="F58" s="76">
        <f>Mid!N46</f>
        <v>0.11040123335815728</v>
      </c>
      <c r="H58" s="44">
        <f>Mid!Q46</f>
        <v>4859</v>
      </c>
      <c r="I58" s="81">
        <f>Mid!R46</f>
        <v>7.8618069406212729E-2</v>
      </c>
      <c r="R58" s="114" t="s">
        <v>207</v>
      </c>
    </row>
    <row r="59" spans="2:18" x14ac:dyDescent="0.45">
      <c r="B59" s="35">
        <v>55</v>
      </c>
      <c r="C59" s="35">
        <v>55</v>
      </c>
      <c r="D59" s="49" t="str">
        <f>Mid!L47</f>
        <v>Malta</v>
      </c>
      <c r="E59" s="48">
        <f>Mid!M47</f>
        <v>146</v>
      </c>
      <c r="F59" s="76">
        <f>Mid!N47</f>
        <v>9.5376213433674334E-2</v>
      </c>
      <c r="H59" s="44">
        <f>Mid!Q47</f>
        <v>16844</v>
      </c>
      <c r="I59" s="81">
        <f>Mid!R47</f>
        <v>0.27253401133530503</v>
      </c>
      <c r="R59" s="114" t="s">
        <v>208</v>
      </c>
    </row>
    <row r="60" spans="2:18" x14ac:dyDescent="0.45">
      <c r="B60" s="35">
        <v>56</v>
      </c>
      <c r="C60" s="35">
        <v>56</v>
      </c>
      <c r="D60" s="49" t="str">
        <f>Mid!L48</f>
        <v>Zimbabwe</v>
      </c>
      <c r="E60" s="48">
        <f>Mid!M48</f>
        <v>118</v>
      </c>
      <c r="F60" s="76">
        <f>Mid!N48</f>
        <v>7.7084884829955971E-2</v>
      </c>
      <c r="H60" s="44">
        <f>Mid!Q48</f>
        <v>6039</v>
      </c>
      <c r="I60" s="81">
        <f>Mid!R48</f>
        <v>9.7710335695434997E-2</v>
      </c>
      <c r="R60" s="114" t="s">
        <v>209</v>
      </c>
    </row>
    <row r="61" spans="2:18" x14ac:dyDescent="0.45">
      <c r="B61" s="35">
        <v>57</v>
      </c>
      <c r="C61" s="35">
        <v>57</v>
      </c>
      <c r="D61" s="49" t="str">
        <f>Mid!L49</f>
        <v>Iraq</v>
      </c>
      <c r="E61" s="48">
        <f>Mid!M49</f>
        <v>105</v>
      </c>
      <c r="F61" s="76">
        <f>Mid!N49</f>
        <v>6.8592482263943877E-2</v>
      </c>
      <c r="H61" s="44">
        <f>Mid!Q49</f>
        <v>26083</v>
      </c>
      <c r="I61" s="81">
        <f>Mid!R49</f>
        <v>0.42201998442524108</v>
      </c>
      <c r="R61" s="114" t="s">
        <v>210</v>
      </c>
    </row>
    <row r="62" spans="2:18" x14ac:dyDescent="0.45">
      <c r="B62" s="35">
        <v>58</v>
      </c>
      <c r="C62" s="35">
        <v>58</v>
      </c>
      <c r="D62" s="49" t="str">
        <f>Mid!L50</f>
        <v>Myanmar</v>
      </c>
      <c r="E62" s="48">
        <f>Mid!M50</f>
        <v>96</v>
      </c>
      <c r="F62" s="76">
        <f>Mid!N50</f>
        <v>6.2713126641320116E-2</v>
      </c>
      <c r="H62" s="44">
        <f>Mid!Q50</f>
        <v>14216</v>
      </c>
      <c r="I62" s="81">
        <f>Mid!R50</f>
        <v>0.23001326912507103</v>
      </c>
      <c r="R62" s="114" t="s">
        <v>211</v>
      </c>
    </row>
    <row r="63" spans="2:18" x14ac:dyDescent="0.45">
      <c r="B63" s="35">
        <v>59</v>
      </c>
      <c r="C63" s="35">
        <v>59</v>
      </c>
      <c r="D63" s="49" t="str">
        <f>Mid!L51</f>
        <v>Papua New Guinea</v>
      </c>
      <c r="E63" s="48">
        <f>Mid!M51</f>
        <v>85</v>
      </c>
      <c r="F63" s="76">
        <f>Mid!N51</f>
        <v>5.5527247547002188E-2</v>
      </c>
      <c r="H63" s="44">
        <f>Mid!Q51</f>
        <v>2712</v>
      </c>
      <c r="I63" s="81">
        <f>Mid!R51</f>
        <v>4.3879852691839659E-2</v>
      </c>
      <c r="R63" s="114" t="s">
        <v>212</v>
      </c>
    </row>
    <row r="64" spans="2:18" x14ac:dyDescent="0.45">
      <c r="B64" s="35">
        <v>60</v>
      </c>
      <c r="C64" s="35">
        <v>60</v>
      </c>
      <c r="D64" s="49" t="str">
        <f>Mid!L52</f>
        <v>North Macedonia</v>
      </c>
      <c r="E64" s="48">
        <f>Mid!M52</f>
        <v>81</v>
      </c>
      <c r="F64" s="76">
        <f>Mid!N52</f>
        <v>5.2914200603613841E-2</v>
      </c>
      <c r="H64" s="44">
        <f>Mid!Q52</f>
        <v>19025</v>
      </c>
      <c r="I64" s="81">
        <f>Mid!R52</f>
        <v>0.30782234419699467</v>
      </c>
      <c r="R64" s="114" t="s">
        <v>213</v>
      </c>
    </row>
    <row r="65" spans="2:18" x14ac:dyDescent="0.45">
      <c r="B65" s="35">
        <v>61</v>
      </c>
      <c r="C65" s="35">
        <v>61</v>
      </c>
      <c r="D65" s="49" t="str">
        <f>Mid!L53</f>
        <v>Afghanistan</v>
      </c>
      <c r="E65" s="48">
        <f>Mid!M53</f>
        <v>74</v>
      </c>
      <c r="F65" s="76">
        <f>Mid!N53</f>
        <v>4.8341368452684254E-2</v>
      </c>
      <c r="H65" s="44">
        <f>Mid!Q53</f>
        <v>25432</v>
      </c>
      <c r="I65" s="81">
        <f>Mid!R53</f>
        <v>0.41148687819279728</v>
      </c>
      <c r="R65" s="114" t="s">
        <v>214</v>
      </c>
    </row>
    <row r="66" spans="2:18" x14ac:dyDescent="0.45">
      <c r="B66" s="35">
        <v>62</v>
      </c>
      <c r="C66" s="35">
        <v>62</v>
      </c>
      <c r="D66" s="49" t="str">
        <f>Mid!L54</f>
        <v>Samoa</v>
      </c>
      <c r="E66" s="48">
        <f>Mid!M54</f>
        <v>40</v>
      </c>
      <c r="F66" s="76">
        <f>Mid!N54</f>
        <v>2.6130469433883377E-2</v>
      </c>
      <c r="H66" s="44">
        <f>Mid!Q54</f>
        <v>7716</v>
      </c>
      <c r="I66" s="81">
        <f>Mid!R54</f>
        <v>0.12484400566749071</v>
      </c>
      <c r="R66" s="114" t="s">
        <v>215</v>
      </c>
    </row>
    <row r="67" spans="2:18" x14ac:dyDescent="0.4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6733</v>
      </c>
      <c r="F67" s="76">
        <f>VLOOKUP(B67,Data!$B$6:$FI$203,3+'Municipal Detail'!$E$3*2-1)</f>
        <v>4.3984112674584201</v>
      </c>
      <c r="H67" s="44">
        <f>VLOOKUP(B67,Data!$B$6:$FI$203,3+'Municipal Detail'!$H$3*2-2)</f>
        <v>210821</v>
      </c>
      <c r="I67" s="81">
        <f>VLOOKUP(B67,Data!$B$6:$FI$203,3+'Municipal Detail'!$H$3*2-1)</f>
        <v>3.41105989098316</v>
      </c>
      <c r="R67" s="114" t="s">
        <v>216</v>
      </c>
    </row>
    <row r="68" spans="2:18" x14ac:dyDescent="0.45">
      <c r="B68" s="35">
        <v>64</v>
      </c>
      <c r="C68" s="35">
        <v>64</v>
      </c>
      <c r="D68" s="49" t="s">
        <v>62</v>
      </c>
      <c r="E68" s="44">
        <f>VLOOKUP(B68,Data!$B$6:$FI$203,3+'Municipal Detail'!$E$3*2-2)</f>
        <v>5049</v>
      </c>
      <c r="F68" s="77" t="str">
        <f>VLOOKUP(B68,Data!$B$6:$FI$203,3+'Municipal Detail'!$E$3*2-1)</f>
        <v>n.a.</v>
      </c>
      <c r="H68" s="44">
        <f>VLOOKUP(B68,Data!$B$6:$FI$203,3+'Municipal Detail'!$H$3*2-2)</f>
        <v>322968</v>
      </c>
      <c r="I68" s="83" t="str">
        <f>VLOOKUP(B68,Data!$B$6:$FI$203,3+'Municipal Detail'!$H$3*2-1)</f>
        <v>n.a.</v>
      </c>
      <c r="R68" s="114" t="s">
        <v>217</v>
      </c>
    </row>
    <row r="69" spans="2:18" x14ac:dyDescent="0.45">
      <c r="B69" s="35">
        <v>65</v>
      </c>
      <c r="C69" s="35">
        <v>65</v>
      </c>
      <c r="D69" s="51" t="s">
        <v>64</v>
      </c>
      <c r="E69" s="44">
        <f>VLOOKUP(B69,Data!$B$6:$FI$203,3+'Municipal Detail'!$E$3*2-2)</f>
        <v>158129</v>
      </c>
      <c r="F69" s="78">
        <f>SUM(F17:F67)</f>
        <v>100</v>
      </c>
      <c r="H69" s="44">
        <f>VLOOKUP(B69,Data!$B$6:$FI$203,3+'Municipal Detail'!$H$3*2-2)</f>
        <v>6503491</v>
      </c>
      <c r="I69" s="82">
        <f>SUM(I17:I67)</f>
        <v>99.999999999999986</v>
      </c>
      <c r="R69" s="114" t="s">
        <v>218</v>
      </c>
    </row>
    <row r="70" spans="2:18" x14ac:dyDescent="0.45">
      <c r="B70" s="35">
        <v>66</v>
      </c>
      <c r="C70" s="35">
        <v>66</v>
      </c>
      <c r="D70" s="39"/>
      <c r="E70" s="37"/>
      <c r="F70" s="38"/>
      <c r="H70" s="37"/>
      <c r="I70" s="38"/>
      <c r="R70" s="114" t="s">
        <v>219</v>
      </c>
    </row>
    <row r="71" spans="2:18" x14ac:dyDescent="0.45">
      <c r="B71" s="35">
        <v>67</v>
      </c>
      <c r="C71" s="35">
        <v>67</v>
      </c>
      <c r="D71" s="46" t="s">
        <v>65</v>
      </c>
      <c r="E71" s="40" t="s">
        <v>254</v>
      </c>
      <c r="F71" s="41" t="s">
        <v>255</v>
      </c>
      <c r="G71" s="42"/>
      <c r="H71" s="40" t="s">
        <v>254</v>
      </c>
      <c r="I71" s="41" t="s">
        <v>255</v>
      </c>
      <c r="R71" s="114" t="s">
        <v>220</v>
      </c>
    </row>
    <row r="72" spans="2:18" x14ac:dyDescent="0.45">
      <c r="B72" s="35">
        <v>68</v>
      </c>
      <c r="C72" s="35">
        <v>68</v>
      </c>
      <c r="D72" s="52" t="s">
        <v>66</v>
      </c>
      <c r="E72" s="44">
        <f>VLOOKUP(B72,Data!$B$6:$FI$203,3+'Municipal Detail'!$E$3*2-2)</f>
        <v>2374</v>
      </c>
      <c r="F72" s="76">
        <f>VLOOKUP(B72,Data!$B$6:$FI$203,3+'Municipal Detail'!$E$3*2-1)</f>
        <v>1.5013058958192362</v>
      </c>
      <c r="H72" s="44">
        <f>VLOOKUP(B72,Data!$B$6:$FI$203,3+'Municipal Detail'!$H$3*2-2)</f>
        <v>142894</v>
      </c>
      <c r="I72" s="81">
        <f>VLOOKUP(B72,Data!$B$6:$FI$203,3+'Municipal Detail'!$H$3*2-1)</f>
        <v>2.1971891711697609</v>
      </c>
      <c r="R72" s="114" t="s">
        <v>221</v>
      </c>
    </row>
    <row r="73" spans="2:18" x14ac:dyDescent="0.45">
      <c r="B73" s="35">
        <v>69</v>
      </c>
      <c r="C73" s="35">
        <v>69</v>
      </c>
      <c r="D73" s="39"/>
      <c r="E73" s="37"/>
      <c r="F73" s="38"/>
      <c r="H73" s="37"/>
      <c r="I73" s="38"/>
      <c r="R73" s="114" t="s">
        <v>222</v>
      </c>
    </row>
    <row r="74" spans="2:18" x14ac:dyDescent="0.45">
      <c r="B74" s="35">
        <v>70</v>
      </c>
      <c r="C74" s="35">
        <v>70</v>
      </c>
      <c r="D74" s="46" t="s">
        <v>67</v>
      </c>
      <c r="E74" s="40" t="s">
        <v>254</v>
      </c>
      <c r="F74" s="41" t="s">
        <v>255</v>
      </c>
      <c r="G74" s="42"/>
      <c r="H74" s="40" t="s">
        <v>254</v>
      </c>
      <c r="I74" s="41" t="s">
        <v>255</v>
      </c>
      <c r="R74" s="114" t="s">
        <v>224</v>
      </c>
    </row>
    <row r="75" spans="2:18" x14ac:dyDescent="0.45">
      <c r="B75" s="35">
        <v>71</v>
      </c>
      <c r="C75" s="35">
        <v>71</v>
      </c>
      <c r="D75" s="53" t="str">
        <f>'Mid2'!K4</f>
        <v>English only</v>
      </c>
      <c r="E75" s="48">
        <f>'Mid2'!L4</f>
        <v>111535</v>
      </c>
      <c r="F75" s="76">
        <f>'Mid2'!M4</f>
        <v>73.069187581480975</v>
      </c>
      <c r="H75" s="44">
        <f>'Mid2'!P4</f>
        <v>4369804</v>
      </c>
      <c r="I75" s="81">
        <f>'Mid2'!Q4</f>
        <v>70.909736457093302</v>
      </c>
      <c r="J75" s="89" t="str">
        <f>CONCATENATE($E$4,": Non-English Languages")</f>
        <v>Kingston: Non-English Languages</v>
      </c>
      <c r="R75" s="114" t="s">
        <v>225</v>
      </c>
    </row>
    <row r="76" spans="2:18" x14ac:dyDescent="0.45">
      <c r="B76" s="35">
        <v>72</v>
      </c>
      <c r="C76" s="35">
        <v>72</v>
      </c>
      <c r="D76" s="54" t="str">
        <f>'Mid2'!K5</f>
        <v>Greek</v>
      </c>
      <c r="E76" s="48">
        <f>'Mid2'!L5</f>
        <v>6611</v>
      </c>
      <c r="F76" s="76">
        <f>'Mid2'!M5</f>
        <v>4.3310207477578402</v>
      </c>
      <c r="H76" s="44">
        <f>'Mid2'!P5</f>
        <v>107158</v>
      </c>
      <c r="I76" s="81">
        <f>'Mid2'!Q5</f>
        <v>1.7388755969991339</v>
      </c>
      <c r="R76" s="114" t="s">
        <v>226</v>
      </c>
    </row>
    <row r="77" spans="2:18" x14ac:dyDescent="0.45">
      <c r="B77" s="35">
        <v>73</v>
      </c>
      <c r="C77" s="35">
        <v>73</v>
      </c>
      <c r="D77" s="54" t="str">
        <f>'Mid2'!K6</f>
        <v>Mandarin</v>
      </c>
      <c r="E77" s="48">
        <f>'Mid2'!L6</f>
        <v>5467</v>
      </c>
      <c r="F77" s="76">
        <f>'Mid2'!M6</f>
        <v>3.5815595867481642</v>
      </c>
      <c r="H77" s="44">
        <f>'Mid2'!P6</f>
        <v>221798</v>
      </c>
      <c r="I77" s="81">
        <f>'Mid2'!Q6</f>
        <v>3.5991631951250858</v>
      </c>
      <c r="R77" s="114" t="s">
        <v>227</v>
      </c>
    </row>
    <row r="78" spans="2:18" x14ac:dyDescent="0.45">
      <c r="B78" s="35">
        <v>74</v>
      </c>
      <c r="C78" s="35">
        <v>74</v>
      </c>
      <c r="D78" s="54" t="str">
        <f>'Mid2'!K7</f>
        <v>Russian</v>
      </c>
      <c r="E78" s="48">
        <f>'Mid2'!L7</f>
        <v>2081</v>
      </c>
      <c r="F78" s="76">
        <f>'Mid2'!M7</f>
        <v>1.3633117797737204</v>
      </c>
      <c r="H78" s="44">
        <f>'Mid2'!P7</f>
        <v>18205</v>
      </c>
      <c r="I78" s="81">
        <f>'Mid2'!Q7</f>
        <v>0.2954163967540383</v>
      </c>
      <c r="R78" s="114" t="s">
        <v>228</v>
      </c>
    </row>
    <row r="79" spans="2:18" x14ac:dyDescent="0.45">
      <c r="B79" s="35">
        <v>75</v>
      </c>
      <c r="C79" s="35">
        <v>75</v>
      </c>
      <c r="D79" s="54" t="str">
        <f>'Mid2'!K8</f>
        <v>Italian</v>
      </c>
      <c r="E79" s="48">
        <f>'Mid2'!L8</f>
        <v>1999</v>
      </c>
      <c r="F79" s="76">
        <f>'Mid2'!M8</f>
        <v>1.3095916615894603</v>
      </c>
      <c r="H79" s="44">
        <f>'Mid2'!P8</f>
        <v>92320</v>
      </c>
      <c r="I79" s="81">
        <f>'Mid2'!Q8</f>
        <v>1.4980962234733763</v>
      </c>
      <c r="R79" s="114" t="s">
        <v>223</v>
      </c>
    </row>
    <row r="80" spans="2:18" x14ac:dyDescent="0.45">
      <c r="B80" s="35">
        <v>76</v>
      </c>
      <c r="C80" s="35">
        <v>76</v>
      </c>
      <c r="D80" s="54" t="str">
        <f>'Mid2'!K9</f>
        <v>Vietnamese</v>
      </c>
      <c r="E80" s="48">
        <f>'Mid2'!L9</f>
        <v>1727</v>
      </c>
      <c r="F80" s="76">
        <f>'Mid2'!M9</f>
        <v>1.131398098831915</v>
      </c>
      <c r="H80" s="44">
        <f>'Mid2'!P9</f>
        <v>118801</v>
      </c>
      <c r="I80" s="81">
        <f>'Mid2'!Q9</f>
        <v>1.9278090277822852</v>
      </c>
      <c r="R80" s="114" t="s">
        <v>229</v>
      </c>
    </row>
    <row r="81" spans="2:18" x14ac:dyDescent="0.45">
      <c r="B81" s="35">
        <v>77</v>
      </c>
      <c r="C81" s="35">
        <v>77</v>
      </c>
      <c r="D81" s="54" t="str">
        <f>'Mid2'!K10</f>
        <v>Cantonese</v>
      </c>
      <c r="E81" s="48">
        <f>'Mid2'!L10</f>
        <v>1691</v>
      </c>
      <c r="F81" s="76">
        <f>'Mid2'!M10</f>
        <v>1.1078136567022399</v>
      </c>
      <c r="H81" s="44">
        <f>'Mid2'!P10</f>
        <v>82432</v>
      </c>
      <c r="I81" s="81">
        <f>'Mid2'!Q10</f>
        <v>1.3376415499713752</v>
      </c>
      <c r="R81" s="114" t="s">
        <v>230</v>
      </c>
    </row>
    <row r="82" spans="2:18" x14ac:dyDescent="0.45">
      <c r="B82" s="35">
        <v>78</v>
      </c>
      <c r="C82" s="35">
        <v>78</v>
      </c>
      <c r="D82" s="54" t="str">
        <f>'Mid2'!K11</f>
        <v>Hindi</v>
      </c>
      <c r="E82" s="48">
        <f>'Mid2'!L11</f>
        <v>1517</v>
      </c>
      <c r="F82" s="76">
        <f>'Mid2'!M11</f>
        <v>0.99382218640881004</v>
      </c>
      <c r="H82" s="44">
        <f>'Mid2'!P11</f>
        <v>66930</v>
      </c>
      <c r="I82" s="81">
        <f>'Mid2'!Q11</f>
        <v>1.0860873075939459</v>
      </c>
      <c r="R82" s="114" t="s">
        <v>231</v>
      </c>
    </row>
    <row r="83" spans="2:18" x14ac:dyDescent="0.45">
      <c r="B83" s="35">
        <v>79</v>
      </c>
      <c r="C83" s="35">
        <v>79</v>
      </c>
      <c r="D83" s="54" t="str">
        <f>'Mid2'!K12</f>
        <v>Spanish</v>
      </c>
      <c r="E83" s="48">
        <f>'Mid2'!L12</f>
        <v>1214</v>
      </c>
      <c r="F83" s="76">
        <f>'Mid2'!M12</f>
        <v>0.79531979848404444</v>
      </c>
      <c r="H83" s="44">
        <f>'Mid2'!P12</f>
        <v>43181</v>
      </c>
      <c r="I83" s="81">
        <f>'Mid2'!Q12</f>
        <v>0.7007072468133001</v>
      </c>
      <c r="R83" s="114" t="s">
        <v>232</v>
      </c>
    </row>
    <row r="84" spans="2:18" x14ac:dyDescent="0.45">
      <c r="B84" s="35">
        <v>80</v>
      </c>
      <c r="C84" s="35">
        <v>80</v>
      </c>
      <c r="D84" s="54" t="str">
        <f>'Mid2'!K13</f>
        <v>Arabic</v>
      </c>
      <c r="E84" s="48">
        <f>'Mid2'!L13</f>
        <v>1069</v>
      </c>
      <c r="F84" s="76">
        <f>'Mid2'!M13</f>
        <v>0.70032690657285301</v>
      </c>
      <c r="H84" s="44">
        <f>'Mid2'!P13</f>
        <v>91441</v>
      </c>
      <c r="I84" s="81">
        <f>'Mid2'!Q13</f>
        <v>1.4838325040146123</v>
      </c>
      <c r="R84" s="114" t="s">
        <v>253</v>
      </c>
    </row>
    <row r="85" spans="2:18" x14ac:dyDescent="0.45">
      <c r="B85" s="35">
        <v>81</v>
      </c>
      <c r="C85" s="35">
        <v>81</v>
      </c>
      <c r="D85" s="54" t="str">
        <f>'Mid2'!K14</f>
        <v>Punjabi</v>
      </c>
      <c r="E85" s="48">
        <f>'Mid2'!L14</f>
        <v>952</v>
      </c>
      <c r="F85" s="76">
        <f>'Mid2'!M14</f>
        <v>0.6236774696514088</v>
      </c>
      <c r="H85" s="44">
        <f>'Mid2'!P14</f>
        <v>104949</v>
      </c>
      <c r="I85" s="81">
        <f>'Mid2'!Q14</f>
        <v>1.7030296854127749</v>
      </c>
      <c r="R85" s="114" t="s">
        <v>252</v>
      </c>
    </row>
    <row r="86" spans="2:18" x14ac:dyDescent="0.45">
      <c r="B86" s="35">
        <v>82</v>
      </c>
      <c r="C86" s="35">
        <v>82</v>
      </c>
      <c r="D86" s="54" t="str">
        <f>'Mid2'!K15</f>
        <v>Khmer</v>
      </c>
      <c r="E86" s="48">
        <f>'Mid2'!L15</f>
        <v>892</v>
      </c>
      <c r="F86" s="76">
        <f>'Mid2'!M15</f>
        <v>0.5843700661019503</v>
      </c>
      <c r="H86" s="44">
        <f>'Mid2'!P15</f>
        <v>17556</v>
      </c>
      <c r="I86" s="81">
        <f>'Mid2'!Q15</f>
        <v>0.28488493608425686</v>
      </c>
    </row>
    <row r="87" spans="2:18" x14ac:dyDescent="0.45">
      <c r="B87" s="35">
        <v>83</v>
      </c>
      <c r="C87" s="35">
        <v>83</v>
      </c>
      <c r="D87" s="54" t="str">
        <f>'Mid2'!K16</f>
        <v>Tamil</v>
      </c>
      <c r="E87" s="48">
        <f>'Mid2'!L16</f>
        <v>775</v>
      </c>
      <c r="F87" s="76">
        <f>'Mid2'!M16</f>
        <v>0.5077206291805062</v>
      </c>
      <c r="H87" s="44">
        <f>'Mid2'!P16</f>
        <v>34123</v>
      </c>
      <c r="I87" s="81">
        <f>'Mid2'!Q16</f>
        <v>0.55372115937588839</v>
      </c>
    </row>
    <row r="88" spans="2:18" x14ac:dyDescent="0.45">
      <c r="B88" s="35">
        <v>84</v>
      </c>
      <c r="C88" s="35">
        <v>84</v>
      </c>
      <c r="D88" s="54" t="str">
        <f>'Mid2'!K17</f>
        <v>French</v>
      </c>
      <c r="E88" s="48">
        <f>'Mid2'!L17</f>
        <v>768</v>
      </c>
      <c r="F88" s="76">
        <f>'Mid2'!M17</f>
        <v>0.50313476543306934</v>
      </c>
      <c r="H88" s="44">
        <f>'Mid2'!P17</f>
        <v>18543</v>
      </c>
      <c r="I88" s="81">
        <f>'Mid2'!Q17</f>
        <v>0.30090119445263014</v>
      </c>
    </row>
    <row r="89" spans="2:18" x14ac:dyDescent="0.45">
      <c r="B89" s="35">
        <v>85</v>
      </c>
      <c r="C89" s="35">
        <v>85</v>
      </c>
      <c r="D89" s="54" t="str">
        <f>'Mid2'!K18</f>
        <v>Turkish</v>
      </c>
      <c r="E89" s="48">
        <f>'Mid2'!L18</f>
        <v>767</v>
      </c>
      <c r="F89" s="76">
        <f>'Mid2'!M18</f>
        <v>0.50247964204057838</v>
      </c>
      <c r="H89" s="44">
        <f>'Mid2'!P18</f>
        <v>34864</v>
      </c>
      <c r="I89" s="81">
        <f>'Mid2'!Q18</f>
        <v>0.56574552356126284</v>
      </c>
    </row>
    <row r="90" spans="2:18" x14ac:dyDescent="0.45">
      <c r="B90" s="35">
        <v>86</v>
      </c>
      <c r="C90" s="35">
        <v>86</v>
      </c>
      <c r="D90" s="54" t="str">
        <f>'Mid2'!K19</f>
        <v>Polish</v>
      </c>
      <c r="E90" s="48">
        <f>'Mid2'!L19</f>
        <v>690</v>
      </c>
      <c r="F90" s="76">
        <f>'Mid2'!M19</f>
        <v>0.45203514081877327</v>
      </c>
      <c r="H90" s="44">
        <f>'Mid2'!P19</f>
        <v>13670</v>
      </c>
      <c r="I90" s="81">
        <f>'Mid2'!Q19</f>
        <v>0.22182598976257642</v>
      </c>
    </row>
    <row r="91" spans="2:18" x14ac:dyDescent="0.45">
      <c r="B91" s="35">
        <v>87</v>
      </c>
      <c r="C91" s="35">
        <v>87</v>
      </c>
      <c r="D91" s="54" t="str">
        <f>'Mid2'!K20</f>
        <v>Sinhalese</v>
      </c>
      <c r="E91" s="48">
        <f>'Mid2'!L20</f>
        <v>673</v>
      </c>
      <c r="F91" s="76">
        <f>'Mid2'!M20</f>
        <v>0.44089804314642661</v>
      </c>
      <c r="H91" s="44">
        <f>'Mid2'!P20</f>
        <v>49501</v>
      </c>
      <c r="I91" s="81">
        <f>'Mid2'!Q20</f>
        <v>0.80326322744969247</v>
      </c>
    </row>
    <row r="92" spans="2:18" x14ac:dyDescent="0.45">
      <c r="B92" s="35">
        <v>88</v>
      </c>
      <c r="C92" s="35">
        <v>88</v>
      </c>
      <c r="D92" s="54" t="str">
        <f>'Mid2'!K21</f>
        <v>Gujarati</v>
      </c>
      <c r="E92" s="48">
        <f>'Mid2'!L21</f>
        <v>656</v>
      </c>
      <c r="F92" s="76">
        <f>'Mid2'!M21</f>
        <v>0.42976094547408006</v>
      </c>
      <c r="H92" s="44">
        <f>'Mid2'!P21</f>
        <v>24181</v>
      </c>
      <c r="I92" s="81">
        <f>'Mid2'!Q21</f>
        <v>0.39239021641908267</v>
      </c>
    </row>
    <row r="93" spans="2:18" x14ac:dyDescent="0.45">
      <c r="B93" s="35">
        <v>89</v>
      </c>
      <c r="C93" s="35">
        <v>89</v>
      </c>
      <c r="D93" s="54" t="str">
        <f>'Mid2'!K22</f>
        <v>Tagalog</v>
      </c>
      <c r="E93" s="48">
        <f>'Mid2'!L22</f>
        <v>605</v>
      </c>
      <c r="F93" s="76">
        <f>'Mid2'!M22</f>
        <v>0.39634965245704029</v>
      </c>
      <c r="H93" s="44">
        <f>'Mid2'!P22</f>
        <v>29044</v>
      </c>
      <c r="I93" s="81">
        <f>'Mid2'!Q22</f>
        <v>0.47130314898787629</v>
      </c>
    </row>
    <row r="94" spans="2:18" x14ac:dyDescent="0.45">
      <c r="B94" s="35">
        <v>90</v>
      </c>
      <c r="C94" s="35">
        <v>90</v>
      </c>
      <c r="D94" s="54" t="str">
        <f>'Mid2'!K23</f>
        <v>Chinese Ls other</v>
      </c>
      <c r="E94" s="48">
        <f>'Mid2'!L23</f>
        <v>577</v>
      </c>
      <c r="F94" s="76">
        <f>'Mid2'!M23</f>
        <v>0.37800619746729297</v>
      </c>
      <c r="H94" s="44">
        <f>'Mid2'!P23</f>
        <v>15766</v>
      </c>
      <c r="I94" s="81">
        <f>'Mid2'!Q23</f>
        <v>0.25583822637869641</v>
      </c>
    </row>
    <row r="95" spans="2:18" x14ac:dyDescent="0.45">
      <c r="B95" s="35">
        <v>91</v>
      </c>
      <c r="C95" s="35">
        <v>91</v>
      </c>
      <c r="D95" s="54" t="str">
        <f>'Mid2'!K24</f>
        <v>German</v>
      </c>
      <c r="E95" s="48">
        <f>'Mid2'!L24</f>
        <v>561</v>
      </c>
      <c r="F95" s="76">
        <f>'Mid2'!M24</f>
        <v>0.36752422318743733</v>
      </c>
      <c r="H95" s="44">
        <f>'Mid2'!P24</f>
        <v>16515</v>
      </c>
      <c r="I95" s="81">
        <f>'Mid2'!Q24</f>
        <v>0.26799240826107895</v>
      </c>
    </row>
    <row r="96" spans="2:18" x14ac:dyDescent="0.45">
      <c r="B96" s="35">
        <v>92</v>
      </c>
      <c r="C96" s="35">
        <v>92</v>
      </c>
      <c r="D96" s="54" t="str">
        <f>'Mid2'!K25</f>
        <v>Japanese</v>
      </c>
      <c r="E96" s="48">
        <f>'Mid2'!L25</f>
        <v>545</v>
      </c>
      <c r="F96" s="76">
        <f>'Mid2'!M25</f>
        <v>0.35704224890758174</v>
      </c>
      <c r="H96" s="44">
        <f>'Mid2'!P25</f>
        <v>12352</v>
      </c>
      <c r="I96" s="81">
        <f>'Mid2'!Q25</f>
        <v>0.20043852418049332</v>
      </c>
    </row>
    <row r="97" spans="2:9" x14ac:dyDescent="0.45">
      <c r="B97" s="35">
        <v>93</v>
      </c>
      <c r="C97" s="35">
        <v>93</v>
      </c>
      <c r="D97" s="54" t="str">
        <f>'Mid2'!K26</f>
        <v>Serbian</v>
      </c>
      <c r="E97" s="48">
        <f>'Mid2'!L26</f>
        <v>520</v>
      </c>
      <c r="F97" s="76">
        <f>'Mid2'!M26</f>
        <v>0.34066416409530731</v>
      </c>
      <c r="H97" s="44">
        <f>'Mid2'!P26</f>
        <v>17833</v>
      </c>
      <c r="I97" s="81">
        <f>'Mid2'!Q26</f>
        <v>0.28937987384316205</v>
      </c>
    </row>
    <row r="98" spans="2:9" x14ac:dyDescent="0.45">
      <c r="B98" s="35">
        <v>94</v>
      </c>
      <c r="C98" s="35">
        <v>94</v>
      </c>
      <c r="D98" s="54" t="str">
        <f>'Mid2'!K27</f>
        <v>Croatian</v>
      </c>
      <c r="E98" s="48">
        <f>'Mid2'!L27</f>
        <v>488</v>
      </c>
      <c r="F98" s="76">
        <f>'Mid2'!M27</f>
        <v>0.31970021553559613</v>
      </c>
      <c r="H98" s="44">
        <f>'Mid2'!P27</f>
        <v>19258</v>
      </c>
      <c r="I98" s="81">
        <f>'Mid2'!Q27</f>
        <v>0.31250365112272832</v>
      </c>
    </row>
    <row r="99" spans="2:9" x14ac:dyDescent="0.45">
      <c r="B99" s="35">
        <v>95</v>
      </c>
      <c r="C99" s="35">
        <v>95</v>
      </c>
      <c r="D99" s="54" t="str">
        <f>'Mid2'!K28</f>
        <v>Malayalam</v>
      </c>
      <c r="E99" s="48">
        <f>'Mid2'!L28</f>
        <v>454</v>
      </c>
      <c r="F99" s="76">
        <f>'Mid2'!M28</f>
        <v>0.29742602019090297</v>
      </c>
      <c r="H99" s="44">
        <f>'Mid2'!P28</f>
        <v>25342</v>
      </c>
      <c r="I99" s="81">
        <f>'Mid2'!Q28</f>
        <v>0.41123000969738199</v>
      </c>
    </row>
    <row r="100" spans="2:9" x14ac:dyDescent="0.45">
      <c r="B100" s="35">
        <v>96</v>
      </c>
      <c r="C100" s="35">
        <v>96</v>
      </c>
      <c r="D100" s="54" t="str">
        <f>'Mid2'!K29</f>
        <v>Filipino</v>
      </c>
      <c r="E100" s="48">
        <f>'Mid2'!L29</f>
        <v>447</v>
      </c>
      <c r="F100" s="76">
        <f>'Mid2'!M29</f>
        <v>0.29284015644346612</v>
      </c>
      <c r="H100" s="44">
        <f>'Mid2'!P29</f>
        <v>23611</v>
      </c>
      <c r="I100" s="81">
        <f>'Mid2'!Q29</f>
        <v>0.38314070550725615</v>
      </c>
    </row>
    <row r="101" spans="2:9" x14ac:dyDescent="0.45">
      <c r="B101" s="35">
        <v>97</v>
      </c>
      <c r="C101" s="35">
        <v>97</v>
      </c>
      <c r="D101" s="54" t="str">
        <f>'Mid2'!K30</f>
        <v>Korean</v>
      </c>
      <c r="E101" s="48">
        <f>'Mid2'!L30</f>
        <v>402</v>
      </c>
      <c r="F101" s="76">
        <f>'Mid2'!M30</f>
        <v>0.26335960378137224</v>
      </c>
      <c r="H101" s="44">
        <f>'Mid2'!P30</f>
        <v>16802</v>
      </c>
      <c r="I101" s="81">
        <f>'Mid2'!Q30</f>
        <v>0.27264961814124422</v>
      </c>
    </row>
    <row r="102" spans="2:9" x14ac:dyDescent="0.45">
      <c r="B102" s="35">
        <v>98</v>
      </c>
      <c r="C102" s="35">
        <v>98</v>
      </c>
      <c r="D102" s="54" t="str">
        <f>'Mid2'!K31</f>
        <v>Thai</v>
      </c>
      <c r="E102" s="48">
        <f>'Mid2'!L31</f>
        <v>401</v>
      </c>
      <c r="F102" s="76">
        <f>'Mid2'!M31</f>
        <v>0.26270448038888128</v>
      </c>
      <c r="H102" s="44">
        <f>'Mid2'!P31</f>
        <v>14724</v>
      </c>
      <c r="I102" s="81">
        <f>'Mid2'!Q31</f>
        <v>0.23892947134339249</v>
      </c>
    </row>
    <row r="103" spans="2:9" x14ac:dyDescent="0.45">
      <c r="B103" s="35">
        <v>99</v>
      </c>
      <c r="C103" s="35">
        <v>99</v>
      </c>
      <c r="D103" s="54" t="str">
        <f>'Mid2'!K32</f>
        <v>Portuguese</v>
      </c>
      <c r="E103" s="48">
        <f>'Mid2'!L32</f>
        <v>344</v>
      </c>
      <c r="F103" s="76">
        <f>'Mid2'!M32</f>
        <v>0.22536244701689565</v>
      </c>
      <c r="H103" s="44">
        <f>'Mid2'!P32</f>
        <v>9214</v>
      </c>
      <c r="I103" s="81">
        <f>'Mid2'!Q32</f>
        <v>0.14951753252906941</v>
      </c>
    </row>
    <row r="104" spans="2:9" x14ac:dyDescent="0.45">
      <c r="B104" s="35">
        <v>100</v>
      </c>
      <c r="C104" s="35">
        <v>100</v>
      </c>
      <c r="D104" s="54" t="str">
        <f>'Mid2'!K33</f>
        <v>Indo-Aryan - other</v>
      </c>
      <c r="E104" s="48">
        <f>'Mid2'!L33</f>
        <v>303</v>
      </c>
      <c r="F104" s="76">
        <f>'Mid2'!M33</f>
        <v>0.19850238792476563</v>
      </c>
      <c r="H104" s="44">
        <f>'Mid2'!P33</f>
        <v>12367</v>
      </c>
      <c r="I104" s="81">
        <f>'Mid2'!Q33</f>
        <v>0.20068193236238352</v>
      </c>
    </row>
    <row r="105" spans="2:9" x14ac:dyDescent="0.45">
      <c r="B105" s="35">
        <v>101</v>
      </c>
      <c r="C105" s="35">
        <v>101</v>
      </c>
      <c r="D105" s="54" t="str">
        <f>'Mid2'!K34</f>
        <v>Afrikaans</v>
      </c>
      <c r="E105" s="48">
        <f>'Mid2'!L34</f>
        <v>273</v>
      </c>
      <c r="F105" s="76">
        <f>'Mid2'!M34</f>
        <v>0.17884868615003635</v>
      </c>
      <c r="H105" s="44">
        <f>'Mid2'!P34</f>
        <v>6039</v>
      </c>
      <c r="I105" s="81">
        <f>'Mid2'!Q34</f>
        <v>9.7996134028983092E-2</v>
      </c>
    </row>
    <row r="106" spans="2:9" x14ac:dyDescent="0.45">
      <c r="B106" s="35">
        <v>102</v>
      </c>
      <c r="C106" s="35">
        <v>102</v>
      </c>
      <c r="D106" s="54" t="str">
        <f>'Mid2'!K35</f>
        <v>Nepali</v>
      </c>
      <c r="E106" s="48">
        <f>'Mid2'!L35</f>
        <v>257</v>
      </c>
      <c r="F106" s="76">
        <f>'Mid2'!M35</f>
        <v>0.16836671187018076</v>
      </c>
      <c r="H106" s="44">
        <f>'Mid2'!P35</f>
        <v>21955</v>
      </c>
      <c r="I106" s="81">
        <f>'Mid2'!Q35</f>
        <v>0.35626844222658122</v>
      </c>
    </row>
    <row r="107" spans="2:9" x14ac:dyDescent="0.45">
      <c r="B107" s="35">
        <v>103</v>
      </c>
      <c r="C107" s="35">
        <v>103</v>
      </c>
      <c r="D107" s="54" t="str">
        <f>'Mid2'!K36</f>
        <v>Indonesian</v>
      </c>
      <c r="E107" s="48">
        <f>'Mid2'!L36</f>
        <v>249</v>
      </c>
      <c r="F107" s="76">
        <f>'Mid2'!M36</f>
        <v>0.16312572473025294</v>
      </c>
      <c r="H107" s="44">
        <f>'Mid2'!P36</f>
        <v>17877</v>
      </c>
      <c r="I107" s="81">
        <f>'Mid2'!Q36</f>
        <v>0.29009387117670654</v>
      </c>
    </row>
    <row r="108" spans="2:9" x14ac:dyDescent="0.45">
      <c r="B108" s="35">
        <v>104</v>
      </c>
      <c r="C108" s="35">
        <v>104</v>
      </c>
      <c r="D108" s="54" t="str">
        <f>'Mid2'!K37</f>
        <v>Bengali</v>
      </c>
      <c r="E108" s="48">
        <f>'Mid2'!L37</f>
        <v>245</v>
      </c>
      <c r="F108" s="76">
        <f>'Mid2'!M37</f>
        <v>0.16050523116028906</v>
      </c>
      <c r="H108" s="44">
        <f>'Mid2'!P37</f>
        <v>15123</v>
      </c>
      <c r="I108" s="81">
        <f>'Mid2'!Q37</f>
        <v>0.24540412898167102</v>
      </c>
    </row>
    <row r="109" spans="2:9" x14ac:dyDescent="0.45">
      <c r="B109" s="35">
        <v>105</v>
      </c>
      <c r="C109" s="35">
        <v>105</v>
      </c>
      <c r="D109" s="54" t="str">
        <f>'Mid2'!K38</f>
        <v>Urdu</v>
      </c>
      <c r="E109" s="48">
        <f>'Mid2'!L38</f>
        <v>244</v>
      </c>
      <c r="F109" s="76">
        <f>'Mid2'!M38</f>
        <v>0.15985010776779807</v>
      </c>
      <c r="H109" s="44">
        <f>'Mid2'!P38</f>
        <v>38084</v>
      </c>
      <c r="I109" s="81">
        <f>'Mid2'!Q38</f>
        <v>0.61799714660701976</v>
      </c>
    </row>
    <row r="110" spans="2:9" x14ac:dyDescent="0.45">
      <c r="B110" s="35">
        <v>106</v>
      </c>
      <c r="C110" s="35">
        <v>106</v>
      </c>
      <c r="D110" s="54" t="str">
        <f>'Mid2'!K39</f>
        <v>Persian</v>
      </c>
      <c r="E110" s="48">
        <f>'Mid2'!L39</f>
        <v>216</v>
      </c>
      <c r="F110" s="76">
        <f>'Mid2'!M39</f>
        <v>0.14150665277805075</v>
      </c>
      <c r="H110" s="44">
        <f>'Mid2'!P39</f>
        <v>22398</v>
      </c>
      <c r="I110" s="81">
        <f>'Mid2'!Q39</f>
        <v>0.3634570971984043</v>
      </c>
    </row>
    <row r="111" spans="2:9" x14ac:dyDescent="0.45">
      <c r="B111" s="35">
        <v>107</v>
      </c>
      <c r="C111" s="35">
        <v>107</v>
      </c>
      <c r="D111" s="54" t="str">
        <f>'Mid2'!K40</f>
        <v>Austronesian - Other</v>
      </c>
      <c r="E111" s="48">
        <f>'Mid2'!L40</f>
        <v>203</v>
      </c>
      <c r="F111" s="76">
        <f>'Mid2'!M40</f>
        <v>0.13299004867566808</v>
      </c>
      <c r="H111" s="44">
        <f>'Mid2'!P40</f>
        <v>12967</v>
      </c>
      <c r="I111" s="81">
        <f>'Mid2'!Q40</f>
        <v>0.21041825963799038</v>
      </c>
    </row>
    <row r="112" spans="2:9" x14ac:dyDescent="0.45">
      <c r="B112" s="35">
        <v>108</v>
      </c>
      <c r="C112" s="35">
        <v>108</v>
      </c>
      <c r="D112" s="54" t="str">
        <f>'Mid2'!K41</f>
        <v>Macedonian</v>
      </c>
      <c r="E112" s="48">
        <f>'Mid2'!L41</f>
        <v>128</v>
      </c>
      <c r="F112" s="76">
        <f>'Mid2'!M41</f>
        <v>8.3855794238844886E-2</v>
      </c>
      <c r="H112" s="44">
        <f>'Mid2'!P41</f>
        <v>29356</v>
      </c>
      <c r="I112" s="81">
        <f>'Mid2'!Q41</f>
        <v>0.47636603917119191</v>
      </c>
    </row>
    <row r="113" spans="2:10" x14ac:dyDescent="0.45">
      <c r="B113" s="35">
        <v>109</v>
      </c>
      <c r="C113" s="35">
        <v>109</v>
      </c>
      <c r="D113" s="54" t="str">
        <f>'Mid2'!K42</f>
        <v>Samoan</v>
      </c>
      <c r="E113" s="48">
        <f>'Mid2'!L42</f>
        <v>49</v>
      </c>
      <c r="F113" s="76">
        <f>'Mid2'!M42</f>
        <v>3.2101046232057805E-2</v>
      </c>
      <c r="H113" s="44">
        <f>'Mid2'!P42</f>
        <v>13171</v>
      </c>
      <c r="I113" s="81">
        <f>'Mid2'!Q42</f>
        <v>0.2137286109116967</v>
      </c>
    </row>
    <row r="114" spans="2:10" x14ac:dyDescent="0.4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0</v>
      </c>
      <c r="F114" s="76">
        <f>'Mid2'!M43</f>
        <v>0</v>
      </c>
      <c r="H114" s="44">
        <f>'Mid2'!P43</f>
        <v>1143</v>
      </c>
      <c r="I114" s="81">
        <f>'Mid2'!Q43</f>
        <v>1.8547703460031078E-2</v>
      </c>
    </row>
    <row r="115" spans="2:10" x14ac:dyDescent="0.45">
      <c r="B115" s="35">
        <v>111</v>
      </c>
      <c r="C115" s="35">
        <v>111</v>
      </c>
      <c r="D115" s="55" t="s">
        <v>108</v>
      </c>
      <c r="E115" s="44">
        <f>VLOOKUP(B115,Data!$B$6:$FI$203,3+'Municipal Detail'!$E$3*2-2)</f>
        <v>4048</v>
      </c>
      <c r="F115" s="76">
        <f>VLOOKUP(B115,Data!$B$6:$FI$203,3+'Municipal Detail'!$E$3*2-1)</f>
        <v>2.6519394928034696</v>
      </c>
      <c r="H115" s="44">
        <f>VLOOKUP(B115,Data!$B$6:$FI$203,3+'Municipal Detail'!$H$3*2-2)</f>
        <v>262090</v>
      </c>
      <c r="I115" s="81">
        <f>VLOOKUP(B115,Data!$B$6:$FI$203,3+'Municipal Detail'!$H$3*2-1)</f>
        <v>4.2529900261063389</v>
      </c>
    </row>
    <row r="116" spans="2:10" x14ac:dyDescent="0.45">
      <c r="B116" s="35">
        <v>112</v>
      </c>
      <c r="C116" s="35">
        <v>112</v>
      </c>
      <c r="D116" s="55" t="s">
        <v>62</v>
      </c>
      <c r="E116" s="44">
        <f>VLOOKUP(B116,Data!$B$6:$FI$203,3+'Municipal Detail'!$E$3*2-2)</f>
        <v>5466</v>
      </c>
      <c r="F116" s="76"/>
      <c r="H116" s="44">
        <f>VLOOKUP(B116,Data!$B$6:$FI$203,3+'Municipal Detail'!$H$3*2-2)</f>
        <v>341903</v>
      </c>
      <c r="I116" s="81"/>
    </row>
    <row r="117" spans="2:10" x14ac:dyDescent="0.45">
      <c r="B117" s="35">
        <v>113</v>
      </c>
      <c r="C117" s="35">
        <v>113</v>
      </c>
      <c r="D117" s="51" t="s">
        <v>64</v>
      </c>
      <c r="E117" s="44">
        <f>VLOOKUP(B117,Data!$B$6:$FI$203,3+'Municipal Detail'!$E$3*2-2)</f>
        <v>158129</v>
      </c>
      <c r="F117" s="78">
        <f>SUM(F75:F115)</f>
        <v>99.999999999999957</v>
      </c>
      <c r="H117" s="44">
        <f>VLOOKUP(B117,Data!$B$6:$FI$203,3+'Municipal Detail'!$H$3*2-2)</f>
        <v>6503491</v>
      </c>
      <c r="I117" s="82">
        <f>SUM(I75:I115)</f>
        <v>100.00000000000003</v>
      </c>
    </row>
    <row r="118" spans="2:10" ht="21.4" customHeight="1" x14ac:dyDescent="0.45">
      <c r="B118" s="35">
        <v>114</v>
      </c>
      <c r="C118" s="35">
        <v>114</v>
      </c>
      <c r="D118" s="39"/>
      <c r="E118" s="40" t="s">
        <v>254</v>
      </c>
      <c r="F118" s="41" t="s">
        <v>255</v>
      </c>
      <c r="G118" s="42"/>
      <c r="H118" s="40" t="s">
        <v>254</v>
      </c>
      <c r="I118" s="41" t="s">
        <v>255</v>
      </c>
    </row>
    <row r="119" spans="2:10" x14ac:dyDescent="0.45">
      <c r="B119" s="35">
        <v>115</v>
      </c>
      <c r="C119" s="35">
        <v>115</v>
      </c>
      <c r="D119" s="56" t="s">
        <v>109</v>
      </c>
      <c r="E119" s="44">
        <f>VLOOKUP(B119,Data!$B$6:$FI$203,3+'Municipal Detail'!$E$3*2-2)</f>
        <v>5258</v>
      </c>
      <c r="F119" s="76">
        <f>VLOOKUP(B119,Data!$B$6:$FI$203,3+'Municipal Detail'!$E$3*2-1)</f>
        <v>3.3251332772609707</v>
      </c>
      <c r="H119" s="44">
        <f>VLOOKUP(B119,Data!$B$6:$FI$203,3+'Municipal Detail'!$H$3*2-2)</f>
        <v>233912</v>
      </c>
      <c r="I119" s="81">
        <f>VLOOKUP(B119,Data!$B$6:$FI$203,3+'Municipal Detail'!$H$3*2-1)</f>
        <v>3.5967144415207155</v>
      </c>
    </row>
    <row r="120" spans="2:10" x14ac:dyDescent="0.45">
      <c r="B120" s="35">
        <v>116</v>
      </c>
      <c r="C120" s="35">
        <v>116</v>
      </c>
      <c r="D120" s="39"/>
      <c r="E120" s="37"/>
      <c r="F120" s="38"/>
      <c r="H120" s="37"/>
      <c r="I120" s="38"/>
    </row>
    <row r="121" spans="2:10" x14ac:dyDescent="0.45">
      <c r="B121" s="35">
        <v>117</v>
      </c>
      <c r="C121" s="35">
        <v>117</v>
      </c>
      <c r="D121" s="46" t="s">
        <v>266</v>
      </c>
      <c r="E121" s="40" t="s">
        <v>254</v>
      </c>
      <c r="F121" s="41" t="s">
        <v>255</v>
      </c>
      <c r="G121" s="42"/>
      <c r="H121" s="40" t="s">
        <v>254</v>
      </c>
      <c r="I121" s="41" t="s">
        <v>255</v>
      </c>
      <c r="J121" s="89" t="str">
        <f>CONCATENATE($E$4,": Religions")</f>
        <v>Kingston: Religions</v>
      </c>
    </row>
    <row r="122" spans="2:10" x14ac:dyDescent="0.45">
      <c r="B122" s="35">
        <v>118</v>
      </c>
      <c r="C122" s="35">
        <v>118</v>
      </c>
      <c r="D122" s="52" t="s">
        <v>111</v>
      </c>
      <c r="E122" s="44">
        <f>VLOOKUP(B122,Data!$B$6:$FI$203,3+'Municipal Detail'!$E$3*2-2)</f>
        <v>4446</v>
      </c>
      <c r="F122" s="76">
        <f>VLOOKUP(B122,Data!$B$6:$FI$203,3+'Municipal Detail'!$E$3*2-1)</f>
        <v>2.9653640674710364</v>
      </c>
      <c r="H122" s="44">
        <f>VLOOKUP(B122,Data!$B$6:$FI$203,3+'Municipal Detail'!$H$3*2-2)</f>
        <v>204493</v>
      </c>
      <c r="I122" s="81">
        <f>VLOOKUP(B122,Data!$B$6:$FI$203,3+'Municipal Detail'!$H$3*2-1)</f>
        <v>3.3716866891805219</v>
      </c>
    </row>
    <row r="123" spans="2:10" x14ac:dyDescent="0.45">
      <c r="B123" s="35">
        <v>119</v>
      </c>
      <c r="C123" s="35">
        <v>119</v>
      </c>
      <c r="D123" s="43" t="s">
        <v>112</v>
      </c>
      <c r="E123" s="44">
        <f>VLOOKUP(B123,Data!$B$6:$FI$203,3+'Municipal Detail'!$E$3*2-2)</f>
        <v>71425</v>
      </c>
      <c r="F123" s="76">
        <f>VLOOKUP(B123,Data!$B$6:$FI$203,3+'Municipal Detail'!$E$3*2-1)</f>
        <v>47.638580413656953</v>
      </c>
      <c r="H123" s="44">
        <f>VLOOKUP(B123,Data!$B$6:$FI$203,3+'Municipal Detail'!$H$3*2-2)</f>
        <v>2657748</v>
      </c>
      <c r="I123" s="81">
        <f>VLOOKUP(B123,Data!$B$6:$FI$203,3+'Municipal Detail'!$H$3*2-1)</f>
        <v>43.821028371612492</v>
      </c>
    </row>
    <row r="124" spans="2:10" x14ac:dyDescent="0.45">
      <c r="B124" s="35">
        <v>120</v>
      </c>
      <c r="C124" s="35">
        <v>120</v>
      </c>
      <c r="D124" s="57" t="s">
        <v>113</v>
      </c>
      <c r="E124" s="44">
        <f>VLOOKUP(B124,Data!$B$6:$FI$203,3+'Municipal Detail'!$E$3*2-2)</f>
        <v>4563</v>
      </c>
      <c r="F124" s="76">
        <f>VLOOKUP(B124,Data!$B$6:$FI$203,3+'Municipal Detail'!$E$3*2-1)</f>
        <v>3.0433999639834326</v>
      </c>
      <c r="H124" s="44">
        <f>VLOOKUP(B124,Data!$B$6:$FI$203,3+'Municipal Detail'!$H$3*2-2)</f>
        <v>214058</v>
      </c>
      <c r="I124" s="81">
        <f>VLOOKUP(B124,Data!$B$6:$FI$203,3+'Municipal Detail'!$H$3*2-1)</f>
        <v>3.5293946947455614</v>
      </c>
    </row>
    <row r="125" spans="2:10" x14ac:dyDescent="0.45">
      <c r="B125" s="35">
        <v>121</v>
      </c>
      <c r="C125" s="35">
        <v>121</v>
      </c>
      <c r="D125" s="57" t="s">
        <v>114</v>
      </c>
      <c r="E125" s="44">
        <f>VLOOKUP(B125,Data!$B$6:$FI$203,3+'Municipal Detail'!$E$3*2-2)</f>
        <v>2301</v>
      </c>
      <c r="F125" s="76">
        <f>VLOOKUP(B125,Data!$B$6:$FI$203,3+'Municipal Detail'!$E$3*2-1)</f>
        <v>1.5347059647437822</v>
      </c>
      <c r="H125" s="44">
        <f>VLOOKUP(B125,Data!$B$6:$FI$203,3+'Municipal Detail'!$H$3*2-2)</f>
        <v>273028</v>
      </c>
      <c r="I125" s="81">
        <f>VLOOKUP(B125,Data!$B$6:$FI$203,3+'Municipal Detail'!$H$3*2-1)</f>
        <v>4.5016938153070249</v>
      </c>
    </row>
    <row r="126" spans="2:10" x14ac:dyDescent="0.45">
      <c r="B126" s="35">
        <v>122</v>
      </c>
      <c r="C126" s="35">
        <v>122</v>
      </c>
      <c r="D126" s="57" t="s">
        <v>115</v>
      </c>
      <c r="E126" s="44">
        <f>VLOOKUP(B126,Data!$B$6:$FI$203,3+'Municipal Detail'!$E$3*2-2)</f>
        <v>1674</v>
      </c>
      <c r="F126" s="76">
        <f>VLOOKUP(B126,Data!$B$6:$FI$203,3+'Municipal Detail'!$E$3*2-1)</f>
        <v>1.1165135962542769</v>
      </c>
      <c r="H126" s="44">
        <f>VLOOKUP(B126,Data!$B$6:$FI$203,3+'Municipal Detail'!$H$3*2-2)</f>
        <v>46645</v>
      </c>
      <c r="I126" s="81">
        <f>VLOOKUP(B126,Data!$B$6:$FI$203,3+'Municipal Detail'!$H$3*2-1)</f>
        <v>0.76908415259605678</v>
      </c>
    </row>
    <row r="127" spans="2:10" x14ac:dyDescent="0.45">
      <c r="B127" s="35">
        <v>123</v>
      </c>
      <c r="C127" s="35">
        <v>123</v>
      </c>
      <c r="D127" s="57" t="s">
        <v>116</v>
      </c>
      <c r="E127" s="44">
        <f>VLOOKUP(B127,Data!$B$6:$FI$203,3+'Municipal Detail'!$E$3*2-2)</f>
        <v>1341</v>
      </c>
      <c r="F127" s="76">
        <f>VLOOKUP(B127,Data!$B$6:$FI$203,3+'Municipal Detail'!$E$3*2-1)</f>
        <v>0.89441142925745842</v>
      </c>
      <c r="H127" s="44">
        <f>VLOOKUP(B127,Data!$B$6:$FI$203,3+'Municipal Detail'!$H$3*2-2)</f>
        <v>115311</v>
      </c>
      <c r="I127" s="81">
        <f>VLOOKUP(B127,Data!$B$6:$FI$203,3+'Municipal Detail'!$H$3*2-1)</f>
        <v>1.9012512106335921</v>
      </c>
    </row>
    <row r="128" spans="2:10" x14ac:dyDescent="0.45">
      <c r="B128" s="35">
        <v>124</v>
      </c>
      <c r="C128" s="35">
        <v>124</v>
      </c>
      <c r="D128" s="57" t="s">
        <v>262</v>
      </c>
      <c r="E128" s="44">
        <f>VLOOKUP(B128,Data!$B$6:$FI$203,3+'Municipal Detail'!$E$3*2-2)</f>
        <v>64181</v>
      </c>
      <c r="F128" s="76">
        <f>VLOOKUP(B128,Data!$B$6:$FI$203,3+'Municipal Detail'!$E$3*2-1)</f>
        <v>42.807024564633068</v>
      </c>
      <c r="H128" s="44">
        <f>VLOOKUP(B128,Data!$B$6:$FI$203,3+'Municipal Detail'!$H$3*2-2)</f>
        <v>2553723</v>
      </c>
      <c r="I128" s="81">
        <f>VLOOKUP(B128,Data!$B$6:$FI$203,3+'Municipal Detail'!$H$3*2-1)</f>
        <v>42.105861065924749</v>
      </c>
    </row>
    <row r="129" spans="2:9" x14ac:dyDescent="0.45">
      <c r="B129" s="35">
        <v>125</v>
      </c>
      <c r="C129" s="35">
        <v>125</v>
      </c>
      <c r="D129" s="39"/>
      <c r="E129" s="37"/>
      <c r="F129" s="38"/>
      <c r="H129" s="37"/>
      <c r="I129" s="38"/>
    </row>
    <row r="130" spans="2:9" ht="21" x14ac:dyDescent="0.45">
      <c r="B130" s="35">
        <v>126</v>
      </c>
      <c r="C130" s="35">
        <v>126</v>
      </c>
      <c r="D130" s="91" t="s">
        <v>236</v>
      </c>
      <c r="F130" s="58" t="s">
        <v>259</v>
      </c>
      <c r="I130" s="58" t="s">
        <v>259</v>
      </c>
    </row>
    <row r="131" spans="2:9" x14ac:dyDescent="0.45">
      <c r="B131" s="35">
        <v>127</v>
      </c>
      <c r="C131" s="35">
        <v>127</v>
      </c>
      <c r="D131" s="92" t="s">
        <v>118</v>
      </c>
      <c r="F131" s="76">
        <f>VLOOKUP(B131,Data!$B$6:$FI$203,3+'Municipal Detail'!$E$3*2-2)</f>
        <v>5.5782640057706185</v>
      </c>
      <c r="G131" s="59"/>
      <c r="I131" s="81">
        <f>VLOOKUP(B131,Data!$B$6:$FI$203,3+'Municipal Detail'!$H$3*2-2)</f>
        <v>9.6725349269159331</v>
      </c>
    </row>
    <row r="132" spans="2:9" x14ac:dyDescent="0.45">
      <c r="B132" s="35">
        <v>128</v>
      </c>
      <c r="C132" s="35">
        <v>128</v>
      </c>
      <c r="D132" s="57" t="s">
        <v>119</v>
      </c>
      <c r="F132" s="76">
        <f>VLOOKUP(B132,Data!$B$6:$FI$203,3+'Municipal Detail'!$E$3*2-2)</f>
        <v>3.0224748127098944</v>
      </c>
      <c r="G132" s="59"/>
      <c r="I132" s="81">
        <f>VLOOKUP(B132,Data!$B$6:$FI$203,3+'Municipal Detail'!$H$3*2-2)</f>
        <v>5.9156090498885145</v>
      </c>
    </row>
    <row r="133" spans="2:9" x14ac:dyDescent="0.45">
      <c r="B133" s="35">
        <v>129</v>
      </c>
      <c r="C133" s="35">
        <v>129</v>
      </c>
      <c r="D133" s="57" t="s">
        <v>120</v>
      </c>
      <c r="F133" s="76">
        <f>VLOOKUP(B133,Data!$B$6:$FI$203,3+'Municipal Detail'!$E$3*2-2)</f>
        <v>4.3115264797507793</v>
      </c>
      <c r="G133" s="59"/>
      <c r="I133" s="81">
        <f>VLOOKUP(B133,Data!$B$6:$FI$203,3+'Municipal Detail'!$H$3*2-2)</f>
        <v>7.8358536446851463</v>
      </c>
    </row>
    <row r="134" spans="2:9" x14ac:dyDescent="0.45">
      <c r="B134" s="35">
        <v>130</v>
      </c>
      <c r="C134" s="35">
        <v>130</v>
      </c>
      <c r="D134" s="39"/>
      <c r="E134" s="37"/>
      <c r="F134" s="38"/>
      <c r="H134" s="37"/>
    </row>
    <row r="135" spans="2:9" x14ac:dyDescent="0.45">
      <c r="B135" s="35">
        <v>131</v>
      </c>
      <c r="C135" s="35">
        <v>131</v>
      </c>
      <c r="D135" s="60" t="s">
        <v>121</v>
      </c>
      <c r="E135" s="40" t="s">
        <v>254</v>
      </c>
      <c r="F135" s="41" t="s">
        <v>255</v>
      </c>
      <c r="G135" s="42"/>
      <c r="H135" s="40" t="s">
        <v>254</v>
      </c>
      <c r="I135" s="41" t="s">
        <v>255</v>
      </c>
    </row>
    <row r="136" spans="2:9" x14ac:dyDescent="0.45">
      <c r="B136" s="35">
        <v>132</v>
      </c>
      <c r="C136" s="35">
        <v>132</v>
      </c>
      <c r="D136" s="61" t="s">
        <v>122</v>
      </c>
      <c r="E136" s="44">
        <f>VLOOKUP(B136,Data!$B$6:$FI$203,3+'Municipal Detail'!$E$3*2-2)</f>
        <v>3942</v>
      </c>
      <c r="F136" s="76">
        <f>VLOOKUP(B136,Data!$B$6:$FI$203,3+'Municipal Detail'!$E$3*2-1)</f>
        <v>5.3463896272988665</v>
      </c>
      <c r="H136" s="44">
        <f>VLOOKUP(B136,Data!$B$6:$FI$203,3+'Municipal Detail'!$H$3*2-2)</f>
        <v>173340</v>
      </c>
      <c r="I136" s="81">
        <f>VLOOKUP(B136,Data!$B$6:$FI$203,3+'Municipal Detail'!$H$3*2-1)</f>
        <v>5.7406646307961786</v>
      </c>
    </row>
    <row r="137" spans="2:9" x14ac:dyDescent="0.45">
      <c r="B137" s="35">
        <v>133</v>
      </c>
      <c r="C137" s="35">
        <v>133</v>
      </c>
      <c r="D137" s="57" t="s">
        <v>123</v>
      </c>
      <c r="E137" s="44">
        <f>VLOOKUP(B137,Data!$B$6:$FI$203,3+'Municipal Detail'!$E$3*2-2)</f>
        <v>5376</v>
      </c>
      <c r="F137" s="76">
        <f>VLOOKUP(B137,Data!$B$6:$FI$203,3+'Municipal Detail'!$E$3*2-1)</f>
        <v>6.8436998752450542</v>
      </c>
      <c r="H137" s="44">
        <f>VLOOKUP(B137,Data!$B$6:$FI$203,3+'Municipal Detail'!$H$3*2-2)</f>
        <v>208730</v>
      </c>
      <c r="I137" s="81">
        <f>VLOOKUP(B137,Data!$B$6:$FI$203,3+'Municipal Detail'!$H$3*2-1)</f>
        <v>6.6621896718026568</v>
      </c>
    </row>
    <row r="138" spans="2:9" x14ac:dyDescent="0.45">
      <c r="B138" s="35">
        <v>134</v>
      </c>
      <c r="C138" s="35">
        <v>134</v>
      </c>
      <c r="D138" s="57" t="s">
        <v>120</v>
      </c>
      <c r="E138" s="44">
        <f>VLOOKUP(B138,Data!$B$6:$FI$203,3+'Municipal Detail'!$E$3*2-2)</f>
        <v>9311</v>
      </c>
      <c r="F138" s="76">
        <f>VLOOKUP(B138,Data!$B$6:$FI$203,3+'Municipal Detail'!$E$3*2-1)</f>
        <v>6.1143945363803525</v>
      </c>
      <c r="H138" s="44">
        <f>VLOOKUP(B138,Data!$B$6:$FI$203,3+'Municipal Detail'!$H$3*2-2)</f>
        <v>382073</v>
      </c>
      <c r="I138" s="96">
        <f>VLOOKUP(B138,Data!$B$6:$FI$203,3+'Municipal Detail'!$H$3*2-1)</f>
        <v>6.2099730340373149</v>
      </c>
    </row>
    <row r="139" spans="2:9" x14ac:dyDescent="0.45">
      <c r="B139" s="35">
        <v>135</v>
      </c>
      <c r="C139" s="35">
        <v>135</v>
      </c>
      <c r="D139" s="39"/>
      <c r="E139" s="37"/>
      <c r="F139" s="38"/>
      <c r="H139" s="37"/>
      <c r="I139" s="38"/>
    </row>
    <row r="140" spans="2:9" x14ac:dyDescent="0.45">
      <c r="B140" s="35">
        <v>136</v>
      </c>
      <c r="C140" s="35">
        <v>136</v>
      </c>
      <c r="D140" s="36" t="s">
        <v>124</v>
      </c>
      <c r="E140" s="40" t="s">
        <v>254</v>
      </c>
      <c r="F140" s="41" t="s">
        <v>255</v>
      </c>
      <c r="G140" s="42"/>
      <c r="H140" s="40" t="s">
        <v>254</v>
      </c>
      <c r="I140" s="41" t="s">
        <v>255</v>
      </c>
    </row>
    <row r="141" spans="2:9" x14ac:dyDescent="0.45">
      <c r="B141" s="35">
        <v>137</v>
      </c>
      <c r="C141" s="111">
        <v>137</v>
      </c>
      <c r="D141" s="62" t="s">
        <v>125</v>
      </c>
      <c r="E141" s="44">
        <f>VLOOKUP(B141,Data!$B$6:$FI$203,3+'Municipal Detail'!$E$3*2-2)</f>
        <v>12284</v>
      </c>
      <c r="F141" s="76">
        <f>VLOOKUP(B141,Data!$B$6:$FI$203,3+'Municipal Detail'!$E$3*2-1)</f>
        <v>8.2660422049956939</v>
      </c>
      <c r="H141" s="44">
        <f>VLOOKUP(B141,Data!$B$6:$FI$203,3+'Municipal Detail'!$H$3*2-2)</f>
        <v>518625</v>
      </c>
      <c r="I141" s="81">
        <f>VLOOKUP(B141,Data!$B$6:$FI$203,3+'Municipal Detail'!$H$3*2-1)</f>
        <v>8.6282522209691024</v>
      </c>
    </row>
    <row r="142" spans="2:9" x14ac:dyDescent="0.45">
      <c r="B142" s="35">
        <v>138</v>
      </c>
      <c r="C142" s="111">
        <v>138</v>
      </c>
      <c r="D142" s="93" t="s">
        <v>126</v>
      </c>
      <c r="E142" s="44">
        <f>VLOOKUP(B142,Data!$B$6:$FI$203,3+'Municipal Detail'!$E$3*2-2)</f>
        <v>12754</v>
      </c>
      <c r="F142" s="76">
        <f>VLOOKUP(B142,Data!$B$6:$FI$203,3+'Municipal Detail'!$E$3*2-1)</f>
        <v>8.5823105081826014</v>
      </c>
      <c r="H142" s="44">
        <f>VLOOKUP(B142,Data!$B$6:$FI$203,3+'Municipal Detail'!$H$3*2-2)</f>
        <v>543045</v>
      </c>
      <c r="I142" s="81">
        <f>VLOOKUP(B142,Data!$B$6:$FI$203,3+'Municipal Detail'!$H$3*2-1)</f>
        <v>9.0345224918508862</v>
      </c>
    </row>
    <row r="143" spans="2:9" x14ac:dyDescent="0.45">
      <c r="B143" s="35">
        <v>139</v>
      </c>
      <c r="C143" s="111">
        <v>139</v>
      </c>
      <c r="D143" s="93" t="s">
        <v>127</v>
      </c>
      <c r="E143" s="44">
        <f>VLOOKUP(B143,Data!$B$6:$FI$203,3+'Municipal Detail'!$E$3*2-2)</f>
        <v>4844</v>
      </c>
      <c r="F143" s="76">
        <f>VLOOKUP(B143,Data!$B$6:$FI$203,3+'Municipal Detail'!$E$3*2-1)</f>
        <v>3.2595822566752801</v>
      </c>
      <c r="H143" s="44">
        <f>VLOOKUP(B143,Data!$B$6:$FI$203,3+'Municipal Detail'!$H$3*2-2)</f>
        <v>179331</v>
      </c>
      <c r="I143" s="81">
        <f>VLOOKUP(B143,Data!$B$6:$FI$203,3+'Municipal Detail'!$H$3*2-1)</f>
        <v>2.9834911526413306</v>
      </c>
    </row>
    <row r="144" spans="2:9" x14ac:dyDescent="0.45">
      <c r="B144" s="35">
        <v>140</v>
      </c>
      <c r="C144" s="111">
        <v>140</v>
      </c>
      <c r="D144" s="93" t="s">
        <v>128</v>
      </c>
      <c r="E144" s="44">
        <f>VLOOKUP(B144,Data!$B$6:$FI$203,3+'Municipal Detail'!$E$3*2-2)</f>
        <v>1271</v>
      </c>
      <c r="F144" s="76">
        <f>VLOOKUP(B144,Data!$B$6:$FI$203,3+'Municipal Detail'!$E$3*2-1)</f>
        <v>0.85527024117140404</v>
      </c>
      <c r="H144" s="44">
        <f>VLOOKUP(B144,Data!$B$6:$FI$203,3+'Municipal Detail'!$H$3*2-2)</f>
        <v>45943</v>
      </c>
      <c r="I144" s="81">
        <f>VLOOKUP(B144,Data!$B$6:$FI$203,3+'Municipal Detail'!$H$3*2-1)</f>
        <v>0.76434377785101659</v>
      </c>
    </row>
    <row r="145" spans="2:9" x14ac:dyDescent="0.45">
      <c r="B145" s="35">
        <v>141</v>
      </c>
      <c r="C145" s="111">
        <v>141</v>
      </c>
      <c r="D145" s="93" t="s">
        <v>129</v>
      </c>
      <c r="E145" s="44">
        <f>VLOOKUP(B145,Data!$B$6:$FI$203,3+'Municipal Detail'!$E$3*2-2)</f>
        <v>7241</v>
      </c>
      <c r="F145" s="76">
        <f>VLOOKUP(B145,Data!$B$6:$FI$203,3+'Municipal Detail'!$E$3*2-1)</f>
        <v>4.8725506029285093</v>
      </c>
      <c r="H145" s="44">
        <f>VLOOKUP(B145,Data!$B$6:$FI$203,3+'Municipal Detail'!$H$3*2-2)</f>
        <v>303368</v>
      </c>
      <c r="I145" s="81">
        <f>VLOOKUP(B145,Data!$B$6:$FI$203,3+'Municipal Detail'!$H$3*2-1)</f>
        <v>5.0470679581025877</v>
      </c>
    </row>
    <row r="146" spans="2:9" x14ac:dyDescent="0.45">
      <c r="B146" s="35">
        <v>142</v>
      </c>
      <c r="C146" s="111">
        <v>142</v>
      </c>
      <c r="D146" s="93" t="s">
        <v>130</v>
      </c>
      <c r="E146" s="44">
        <f>VLOOKUP(B146,Data!$B$6:$FI$203,3+'Municipal Detail'!$E$3*2-2)</f>
        <v>6327</v>
      </c>
      <c r="F146" s="76">
        <f>VLOOKUP(B146,Data!$B$6:$FI$203,3+'Municipal Detail'!$E$3*2-1)</f>
        <v>4.2575096899224807</v>
      </c>
      <c r="H146" s="44">
        <f>VLOOKUP(B146,Data!$B$6:$FI$203,3+'Municipal Detail'!$H$3*2-2)</f>
        <v>243111</v>
      </c>
      <c r="I146" s="81">
        <f>VLOOKUP(B146,Data!$B$6:$FI$203,3+'Municipal Detail'!$H$3*2-1)</f>
        <v>4.0445852507920357</v>
      </c>
    </row>
    <row r="147" spans="2:9" x14ac:dyDescent="0.45">
      <c r="B147" s="35">
        <v>143</v>
      </c>
      <c r="C147" s="111">
        <v>143</v>
      </c>
      <c r="D147" s="93" t="s">
        <v>131</v>
      </c>
      <c r="E147" s="44">
        <f>VLOOKUP(B147,Data!$B$6:$FI$203,3+'Municipal Detail'!$E$3*2-2)</f>
        <v>1409</v>
      </c>
      <c r="F147" s="76">
        <f>VLOOKUP(B147,Data!$B$6:$FI$203,3+'Municipal Detail'!$E$3*2-1)</f>
        <v>0.94813199827734707</v>
      </c>
      <c r="H147" s="44">
        <f>VLOOKUP(B147,Data!$B$6:$FI$203,3+'Municipal Detail'!$H$3*2-2)</f>
        <v>57450</v>
      </c>
      <c r="I147" s="81">
        <f>VLOOKUP(B147,Data!$B$6:$FI$203,3+'Municipal Detail'!$H$3*2-1)</f>
        <v>0.95578325397864539</v>
      </c>
    </row>
    <row r="148" spans="2:9" x14ac:dyDescent="0.45">
      <c r="B148" s="35">
        <v>144</v>
      </c>
      <c r="C148" s="111">
        <v>144</v>
      </c>
      <c r="D148" s="93" t="s">
        <v>249</v>
      </c>
      <c r="E148" s="44">
        <f>VLOOKUP(B148,Data!$B$6:$FI$203,3+'Municipal Detail'!$E$3*2-2)</f>
        <v>2252</v>
      </c>
      <c r="F148" s="76">
        <f>VLOOKUP(B148,Data!$B$6:$FI$203,3+'Municipal Detail'!$E$3*2-1)</f>
        <v>1.515396210163652</v>
      </c>
      <c r="H148" s="44">
        <f>VLOOKUP(B148,Data!$B$6:$FI$203,3+'Municipal Detail'!$H$3*2-2)</f>
        <v>97278</v>
      </c>
      <c r="I148" s="81">
        <f>VLOOKUP(B148,Data!$B$6:$FI$203,3+'Municipal Detail'!$H$3*2-1)</f>
        <v>1.6183930962669217</v>
      </c>
    </row>
    <row r="149" spans="2:9" x14ac:dyDescent="0.45">
      <c r="B149" s="35">
        <v>145</v>
      </c>
      <c r="C149" s="111">
        <v>145</v>
      </c>
      <c r="D149" s="93" t="s">
        <v>251</v>
      </c>
      <c r="E149" s="44">
        <f>VLOOKUP(B149,Data!$B$6:$FI$203,3+'Municipal Detail'!$E$3*2-2)</f>
        <v>12791</v>
      </c>
      <c r="F149" s="76">
        <f>VLOOKUP(B149,Data!$B$6:$FI$203,3+'Municipal Detail'!$E$3*2-1)</f>
        <v>8.6072082256675291</v>
      </c>
      <c r="H149" s="44">
        <f>VLOOKUP(B149,Data!$B$6:$FI$203,3+'Municipal Detail'!$H$3*2-2)</f>
        <v>571149</v>
      </c>
      <c r="I149" s="81">
        <f>VLOOKUP(B149,Data!$B$6:$FI$203,3+'Municipal Detail'!$H$3*2-1)</f>
        <v>9.5020826758337567</v>
      </c>
    </row>
    <row r="150" spans="2:9" x14ac:dyDescent="0.45">
      <c r="B150" s="35">
        <v>146</v>
      </c>
      <c r="C150" s="111">
        <v>146</v>
      </c>
      <c r="D150" s="93" t="s">
        <v>134</v>
      </c>
      <c r="E150" s="44">
        <f>VLOOKUP(B150,Data!$B$6:$FI$203,3+'Municipal Detail'!$E$3*2-2)</f>
        <v>1549</v>
      </c>
      <c r="F150" s="76">
        <f>VLOOKUP(B150,Data!$B$6:$FI$203,3+'Municipal Detail'!$E$3*2-1)</f>
        <v>1.0423395779500431</v>
      </c>
      <c r="H150" s="44">
        <f>VLOOKUP(B150,Data!$B$6:$FI$203,3+'Municipal Detail'!$H$3*2-2)</f>
        <v>59855</v>
      </c>
      <c r="I150" s="81">
        <f>VLOOKUP(B150,Data!$B$6:$FI$203,3+'Municipal Detail'!$H$3*2-1)</f>
        <v>0.9957947200503362</v>
      </c>
    </row>
    <row r="151" spans="2:9" x14ac:dyDescent="0.45">
      <c r="B151" s="35">
        <v>147</v>
      </c>
      <c r="C151" s="111">
        <v>147</v>
      </c>
      <c r="D151" s="93" t="s">
        <v>250</v>
      </c>
      <c r="E151" s="44">
        <f>VLOOKUP(B151,Data!$B$6:$FI$203,3+'Municipal Detail'!$E$3*2-2)</f>
        <v>12908</v>
      </c>
      <c r="F151" s="76">
        <f>VLOOKUP(B151,Data!$B$6:$FI$203,3+'Municipal Detail'!$E$3*2-1)</f>
        <v>8.6859388458225659</v>
      </c>
      <c r="H151" s="44">
        <f>VLOOKUP(B151,Data!$B$6:$FI$203,3+'Municipal Detail'!$H$3*2-2)</f>
        <v>519108</v>
      </c>
      <c r="I151" s="81">
        <f>VLOOKUP(B151,Data!$B$6:$FI$203,3+'Municipal Detail'!$H$3*2-1)</f>
        <v>8.6362877877518986</v>
      </c>
    </row>
    <row r="152" spans="2:9" x14ac:dyDescent="0.45">
      <c r="B152" s="35">
        <v>148</v>
      </c>
      <c r="C152" s="111">
        <v>148</v>
      </c>
      <c r="D152" s="93" t="s">
        <v>136</v>
      </c>
      <c r="E152" s="44">
        <f>VLOOKUP(B152,Data!$B$6:$FI$203,3+'Municipal Detail'!$E$3*2-2)</f>
        <v>98716</v>
      </c>
      <c r="F152" s="76">
        <f>VLOOKUP(B152,Data!$B$6:$FI$203,3+'Municipal Detail'!$E$3*2-1)</f>
        <v>66.427110249784675</v>
      </c>
      <c r="H152" s="44">
        <f>VLOOKUP(B152,Data!$B$6:$FI$203,3+'Municipal Detail'!$H$3*2-2)</f>
        <v>3969500</v>
      </c>
      <c r="I152" s="81">
        <f>VLOOKUP(B152,Data!$B$6:$FI$203,3+'Municipal Detail'!$H$3*2-1)</f>
        <v>66.039714998576727</v>
      </c>
    </row>
    <row r="153" spans="2:9" ht="20.25" customHeight="1" x14ac:dyDescent="0.45">
      <c r="B153" s="35">
        <v>149</v>
      </c>
      <c r="C153" s="35">
        <v>149</v>
      </c>
      <c r="D153" s="107" t="s">
        <v>272</v>
      </c>
      <c r="E153" s="40" t="s">
        <v>254</v>
      </c>
      <c r="F153" s="41" t="s">
        <v>255</v>
      </c>
      <c r="G153" s="42"/>
      <c r="H153" s="40" t="s">
        <v>254</v>
      </c>
      <c r="I153" s="84" t="s">
        <v>255</v>
      </c>
    </row>
    <row r="154" spans="2:9" x14ac:dyDescent="0.45">
      <c r="B154" s="35">
        <v>150</v>
      </c>
      <c r="C154" s="35">
        <v>150</v>
      </c>
      <c r="D154" s="63" t="s">
        <v>264</v>
      </c>
      <c r="E154" s="44">
        <f>VLOOKUP(B154,Data!$B$6:$FI$203,3+'Municipal Detail'!$E$3*2-2)</f>
        <v>15820</v>
      </c>
      <c r="F154" s="76">
        <f>VLOOKUP(B154,Data!$B$6:$FI$203,3+'Municipal Detail'!$E$3*2-1)</f>
        <v>12.597146133265383</v>
      </c>
      <c r="H154" s="44">
        <f>VLOOKUP(B154,Data!$B$6:$FI$203,3+'Municipal Detail'!$H$3*2-2)</f>
        <v>712003</v>
      </c>
      <c r="I154" s="81">
        <f>VLOOKUP(B154,Data!$B$6:$FI$203,3+'Municipal Detail'!$H$3*2-1)</f>
        <v>14.181236232109212</v>
      </c>
    </row>
    <row r="155" spans="2:9" x14ac:dyDescent="0.45">
      <c r="B155" s="35">
        <v>151</v>
      </c>
      <c r="C155" s="35">
        <v>151</v>
      </c>
      <c r="D155" s="39"/>
      <c r="E155" s="37"/>
      <c r="F155" s="38"/>
      <c r="H155" s="37"/>
      <c r="I155" s="85"/>
    </row>
    <row r="156" spans="2:9" x14ac:dyDescent="0.45">
      <c r="B156" s="35">
        <v>152</v>
      </c>
      <c r="C156" s="35">
        <v>152</v>
      </c>
      <c r="D156" s="64" t="s">
        <v>263</v>
      </c>
      <c r="E156" s="40" t="s">
        <v>260</v>
      </c>
      <c r="F156" s="38"/>
      <c r="H156" s="40" t="s">
        <v>260</v>
      </c>
      <c r="I156" s="85"/>
    </row>
    <row r="157" spans="2:9" x14ac:dyDescent="0.45">
      <c r="B157" s="35">
        <v>153</v>
      </c>
      <c r="C157" s="35">
        <v>153</v>
      </c>
      <c r="D157" s="61" t="s">
        <v>122</v>
      </c>
      <c r="E157" s="45">
        <f>VLOOKUP(B157,Data!$B$6:$FI$203,3+'Municipal Detail'!$E$3*2-2)</f>
        <v>6.2518761882525595</v>
      </c>
      <c r="F157" s="38"/>
      <c r="H157" s="45">
        <f>VLOOKUP(B157,Data!$B$6:$FI$203,3+'Municipal Detail'!$H$3*2-2)</f>
        <v>6.2863169549194629</v>
      </c>
      <c r="I157" s="85"/>
    </row>
    <row r="158" spans="2:9" x14ac:dyDescent="0.45">
      <c r="B158" s="35">
        <v>154</v>
      </c>
      <c r="C158" s="35">
        <v>154</v>
      </c>
      <c r="D158" s="57" t="s">
        <v>123</v>
      </c>
      <c r="E158" s="45">
        <f>VLOOKUP(B158,Data!$B$6:$FI$203,3+'Municipal Detail'!$E$3*2-2)</f>
        <v>10.477534791252484</v>
      </c>
      <c r="F158" s="38"/>
      <c r="H158" s="45">
        <f>VLOOKUP(B158,Data!$B$6:$FI$203,3+'Municipal Detail'!$H$3*2-2)</f>
        <v>10.775118616470373</v>
      </c>
      <c r="I158" s="38"/>
    </row>
    <row r="159" spans="2:9" x14ac:dyDescent="0.45">
      <c r="B159" s="35">
        <v>155</v>
      </c>
      <c r="C159" s="35">
        <v>155</v>
      </c>
      <c r="D159" s="57" t="s">
        <v>120</v>
      </c>
      <c r="E159" s="45">
        <f>VLOOKUP(B159,Data!$B$6:$FI$203,3+'Municipal Detail'!$E$3*2-2)</f>
        <v>8.4566752297676793</v>
      </c>
      <c r="F159" s="38"/>
      <c r="H159" s="45">
        <f>VLOOKUP(B159,Data!$B$6:$FI$203,3+'Municipal Detail'!$H$3*2-2)</f>
        <v>8.5951401481168048</v>
      </c>
      <c r="I159" s="38"/>
    </row>
    <row r="160" spans="2:9" x14ac:dyDescent="0.45">
      <c r="B160" s="35">
        <v>156</v>
      </c>
      <c r="C160" s="35">
        <v>156</v>
      </c>
      <c r="D160" s="39"/>
      <c r="E160" s="37"/>
      <c r="F160" s="38"/>
      <c r="H160" s="37"/>
      <c r="I160" s="38"/>
    </row>
    <row r="161" spans="2:9" ht="24" x14ac:dyDescent="0.45">
      <c r="B161" s="35">
        <v>157</v>
      </c>
      <c r="C161" s="35">
        <v>157</v>
      </c>
      <c r="D161" s="65" t="s">
        <v>137</v>
      </c>
      <c r="F161" s="41" t="s">
        <v>255</v>
      </c>
      <c r="I161" s="41" t="s">
        <v>255</v>
      </c>
    </row>
    <row r="162" spans="2:9" x14ac:dyDescent="0.45">
      <c r="B162" s="35">
        <v>158</v>
      </c>
      <c r="C162" s="35">
        <v>158</v>
      </c>
      <c r="D162" s="61" t="s">
        <v>122</v>
      </c>
      <c r="F162" s="79">
        <f>VLOOKUP(B162,Data!$B$6:$FI$203,3+'Municipal Detail'!$E$3*2-2)</f>
        <v>11.820488847335382</v>
      </c>
      <c r="I162" s="86">
        <f>VLOOKUP(B162,Data!$B$6:$FI$203,3+'Municipal Detail'!$H$3*2-2)</f>
        <v>11.284805567656713</v>
      </c>
    </row>
    <row r="163" spans="2:9" x14ac:dyDescent="0.45">
      <c r="B163" s="35">
        <v>159</v>
      </c>
      <c r="C163" s="35">
        <v>159</v>
      </c>
      <c r="D163" s="57" t="s">
        <v>123</v>
      </c>
      <c r="F163" s="79">
        <f>VLOOKUP(B163,Data!$B$6:$FI$203,3+'Municipal Detail'!$E$3*2-2)</f>
        <v>16.317415644406374</v>
      </c>
      <c r="I163" s="86">
        <f>VLOOKUP(B163,Data!$B$6:$FI$203,3+'Municipal Detail'!$H$3*2-2)</f>
        <v>16.115795414686783</v>
      </c>
    </row>
    <row r="164" spans="2:9" x14ac:dyDescent="0.45">
      <c r="B164" s="35">
        <v>160</v>
      </c>
      <c r="C164" s="35">
        <v>160</v>
      </c>
      <c r="D164" s="57" t="s">
        <v>120</v>
      </c>
      <c r="F164" s="79">
        <f>VLOOKUP(B164,Data!$B$6:$FI$203,3+'Municipal Detail'!$E$3*2-2)</f>
        <v>14.167225468595332</v>
      </c>
      <c r="I164" s="86">
        <f>VLOOKUP(B164,Data!$B$6:$FI$203,3+'Municipal Detail'!$H$3*2-2)</f>
        <v>13.769527191824391</v>
      </c>
    </row>
    <row r="165" spans="2:9" x14ac:dyDescent="0.45">
      <c r="B165" s="35">
        <v>161</v>
      </c>
      <c r="C165" s="35">
        <v>161</v>
      </c>
      <c r="D165" s="39"/>
      <c r="F165" s="37"/>
      <c r="I165" s="66"/>
    </row>
    <row r="166" spans="2:9" x14ac:dyDescent="0.45">
      <c r="B166" s="35">
        <v>162</v>
      </c>
      <c r="C166" s="35">
        <v>162</v>
      </c>
      <c r="D166" s="67" t="s">
        <v>138</v>
      </c>
      <c r="F166" s="41" t="s">
        <v>255</v>
      </c>
      <c r="I166" s="41" t="s">
        <v>255</v>
      </c>
    </row>
    <row r="167" spans="2:9" x14ac:dyDescent="0.45">
      <c r="B167" s="35">
        <v>163</v>
      </c>
      <c r="C167" s="35">
        <v>163</v>
      </c>
      <c r="D167" s="61" t="s">
        <v>122</v>
      </c>
      <c r="F167" s="79">
        <f>VLOOKUP(B167,Data!$B$6:$FI$203,3+'Municipal Detail'!$E$3*2-2)</f>
        <v>26.084059371303869</v>
      </c>
      <c r="I167" s="86">
        <f>VLOOKUP(B167,Data!$B$6:$FI$203,3+'Municipal Detail'!$H$3*2-2)</f>
        <v>24.662548043312011</v>
      </c>
    </row>
    <row r="168" spans="2:9" x14ac:dyDescent="0.45">
      <c r="B168" s="35">
        <v>164</v>
      </c>
      <c r="C168" s="35">
        <v>164</v>
      </c>
      <c r="D168" s="57" t="s">
        <v>123</v>
      </c>
      <c r="F168" s="79">
        <f>VLOOKUP(B168,Data!$B$6:$FI$203,3+'Municipal Detail'!$E$3*2-2)</f>
        <v>31.083988099778775</v>
      </c>
      <c r="I168" s="86">
        <f>VLOOKUP(B168,Data!$B$6:$FI$203,3+'Municipal Detail'!$H$3*2-2)</f>
        <v>31.058230672246939</v>
      </c>
    </row>
    <row r="169" spans="2:9" x14ac:dyDescent="0.45">
      <c r="B169" s="35">
        <v>165</v>
      </c>
      <c r="C169" s="35">
        <v>165</v>
      </c>
      <c r="D169" s="57" t="s">
        <v>120</v>
      </c>
      <c r="F169" s="79">
        <f>VLOOKUP(B169,Data!$B$6:$FI$203,3+'Municipal Detail'!$E$3*2-2)</f>
        <v>28.697584048669395</v>
      </c>
      <c r="I169" s="86">
        <f>VLOOKUP(B169,Data!$B$6:$FI$203,3+'Municipal Detail'!$H$3*2-2)</f>
        <v>27.952273496154088</v>
      </c>
    </row>
    <row r="170" spans="2:9" x14ac:dyDescent="0.45">
      <c r="B170" s="35">
        <v>166</v>
      </c>
      <c r="C170" s="35">
        <v>166</v>
      </c>
      <c r="D170" s="39"/>
      <c r="E170" s="37"/>
      <c r="F170" s="38"/>
      <c r="H170" s="37"/>
      <c r="I170" s="38"/>
    </row>
    <row r="171" spans="2:9" x14ac:dyDescent="0.45">
      <c r="B171" s="35">
        <v>167</v>
      </c>
      <c r="C171" s="35">
        <v>167</v>
      </c>
      <c r="D171" s="68" t="s">
        <v>139</v>
      </c>
      <c r="E171" s="40" t="s">
        <v>254</v>
      </c>
      <c r="F171" s="41" t="s">
        <v>256</v>
      </c>
      <c r="G171" s="42"/>
      <c r="H171" s="40" t="s">
        <v>254</v>
      </c>
      <c r="I171" s="41" t="s">
        <v>256</v>
      </c>
    </row>
    <row r="172" spans="2:9" x14ac:dyDescent="0.45">
      <c r="B172" s="35">
        <v>168</v>
      </c>
      <c r="C172" s="35">
        <v>168</v>
      </c>
      <c r="D172" s="61" t="s">
        <v>140</v>
      </c>
      <c r="E172" s="44">
        <f>VLOOKUP(B172,Data!$B$6:$FI$203,3+'Municipal Detail'!$E$3*2-2)</f>
        <v>15677</v>
      </c>
      <c r="F172" s="76">
        <f>VLOOKUP(B172,Data!$B$6:$FI$203,3+'Municipal Detail'!$E$3*2-1)</f>
        <v>35.899608417870802</v>
      </c>
      <c r="H172" s="44">
        <f>VLOOKUP(B172,Data!$B$6:$FI$203,3+'Municipal Detail'!$H$3*2-2)</f>
        <v>645543</v>
      </c>
      <c r="I172" s="81">
        <f>VLOOKUP(B172,Data!$B$6:$FI$203,3+'Municipal Detail'!$H$3*2-1)</f>
        <v>37.558231744744383</v>
      </c>
    </row>
    <row r="173" spans="2:9" x14ac:dyDescent="0.45">
      <c r="B173" s="35">
        <v>169</v>
      </c>
      <c r="C173" s="35">
        <v>169</v>
      </c>
      <c r="D173" s="57" t="s">
        <v>141</v>
      </c>
      <c r="E173" s="44">
        <f>VLOOKUP(B173,Data!$B$6:$FI$203,3+'Municipal Detail'!$E$3*2-2)</f>
        <v>20643</v>
      </c>
      <c r="F173" s="76">
        <f>VLOOKUP(B173,Data!$B$6:$FI$203,3+'Municipal Detail'!$E$3*2-1)</f>
        <v>47.271519842451163</v>
      </c>
      <c r="H173" s="44">
        <f>VLOOKUP(B173,Data!$B$6:$FI$203,3+'Municipal Detail'!$H$3*2-2)</f>
        <v>782321</v>
      </c>
      <c r="I173" s="81">
        <f>VLOOKUP(B173,Data!$B$6:$FI$203,3+'Municipal Detail'!$H$3*2-1)</f>
        <v>45.516090201241695</v>
      </c>
    </row>
    <row r="174" spans="2:9" x14ac:dyDescent="0.45">
      <c r="B174" s="35">
        <v>170</v>
      </c>
      <c r="C174" s="35">
        <v>170</v>
      </c>
      <c r="D174" s="57" t="s">
        <v>142</v>
      </c>
      <c r="E174" s="44">
        <f>VLOOKUP(B174,Data!$B$6:$FI$203,3+'Municipal Detail'!$E$3*2-2)</f>
        <v>6720</v>
      </c>
      <c r="F174" s="76">
        <f>VLOOKUP(B174,Data!$B$6:$FI$203,3+'Municipal Detail'!$E$3*2-1)</f>
        <v>15.388490691337104</v>
      </c>
      <c r="H174" s="44">
        <f>VLOOKUP(B174,Data!$B$6:$FI$203,3+'Municipal Detail'!$H$3*2-2)</f>
        <v>262040</v>
      </c>
      <c r="I174" s="81">
        <f>VLOOKUP(B174,Data!$B$6:$FI$203,3+'Municipal Detail'!$H$3*2-1)</f>
        <v>15.245706399717474</v>
      </c>
    </row>
    <row r="175" spans="2:9" x14ac:dyDescent="0.45">
      <c r="B175" s="35">
        <v>171</v>
      </c>
      <c r="C175" s="35">
        <v>171</v>
      </c>
      <c r="D175" s="57" t="s">
        <v>143</v>
      </c>
      <c r="E175" s="44">
        <f>VLOOKUP(B175,Data!$B$6:$FI$203,3+'Municipal Detail'!$E$3*2-2)</f>
        <v>629</v>
      </c>
      <c r="F175" s="76">
        <f>VLOOKUP(B175,Data!$B$6:$FI$203,3+'Municipal Detail'!$E$3*2-1)</f>
        <v>1.4403810483409283</v>
      </c>
      <c r="H175" s="44">
        <f>VLOOKUP(B175,Data!$B$6:$FI$203,3+'Municipal Detail'!$H$3*2-2)</f>
        <v>28875</v>
      </c>
      <c r="I175" s="81">
        <f>VLOOKUP(B175,Data!$B$6:$FI$203,3+'Municipal Detail'!$H$3*2-1)</f>
        <v>1.6799716542964513</v>
      </c>
    </row>
    <row r="176" spans="2:9" ht="20.65" customHeight="1" x14ac:dyDescent="0.45">
      <c r="B176" s="35">
        <v>172</v>
      </c>
      <c r="C176" s="35">
        <v>172</v>
      </c>
      <c r="D176" s="39"/>
      <c r="E176" s="94" t="s">
        <v>245</v>
      </c>
      <c r="F176" s="69"/>
      <c r="H176" s="94" t="s">
        <v>245</v>
      </c>
      <c r="I176" s="38"/>
    </row>
    <row r="177" spans="2:9" x14ac:dyDescent="0.45">
      <c r="B177" s="35">
        <v>173</v>
      </c>
      <c r="C177" s="35">
        <v>173</v>
      </c>
      <c r="D177" s="108" t="s">
        <v>144</v>
      </c>
      <c r="E177" s="45">
        <f>VLOOKUP(B177,Data!$B$6:$FI$203,3+'Municipal Detail'!$E$3*2-1)</f>
        <v>2.2364217252396164</v>
      </c>
      <c r="H177" s="45">
        <f>VLOOKUP(B177,Data!$B$6:$FI$203,3+'Municipal Detail'!$H$3*2-1)</f>
        <v>5.435887954146251</v>
      </c>
    </row>
    <row r="178" spans="2:9" x14ac:dyDescent="0.45">
      <c r="B178" s="35">
        <v>174</v>
      </c>
      <c r="C178" s="35">
        <v>174</v>
      </c>
      <c r="D178" s="39"/>
      <c r="E178" s="37"/>
      <c r="F178" s="38"/>
      <c r="H178" s="37"/>
      <c r="I178" s="38"/>
    </row>
    <row r="179" spans="2:9" x14ac:dyDescent="0.45">
      <c r="B179" s="35">
        <v>175</v>
      </c>
      <c r="C179" s="35">
        <v>175</v>
      </c>
      <c r="D179" s="36" t="s">
        <v>268</v>
      </c>
      <c r="E179" s="37"/>
      <c r="F179" s="38"/>
      <c r="H179" s="37"/>
      <c r="I179" s="38"/>
    </row>
    <row r="180" spans="2:9" x14ac:dyDescent="0.45">
      <c r="B180" s="35">
        <v>176</v>
      </c>
      <c r="C180" s="35">
        <v>176</v>
      </c>
      <c r="D180" s="61" t="s">
        <v>122</v>
      </c>
      <c r="E180" s="70">
        <f>VLOOKUP(B180,Data!$B$6:$FI$203,3+'Municipal Detail'!$E$3*2-2)</f>
        <v>1091.5118167057551</v>
      </c>
      <c r="F180" s="71"/>
      <c r="H180" s="70">
        <f>VLOOKUP(B180,Data!$B$6:$FI$203,3+'Municipal Detail'!$H$3*2-2)</f>
        <v>988.11787697424666</v>
      </c>
      <c r="I180" s="38"/>
    </row>
    <row r="181" spans="2:9" x14ac:dyDescent="0.45">
      <c r="B181" s="35">
        <v>177</v>
      </c>
      <c r="C181" s="35">
        <v>177</v>
      </c>
      <c r="D181" s="57" t="s">
        <v>123</v>
      </c>
      <c r="E181" s="70">
        <f>VLOOKUP(B181,Data!$B$6:$FI$203,3+'Municipal Detail'!$E$3*2-2)</f>
        <v>718.92458100558656</v>
      </c>
      <c r="F181" s="71"/>
      <c r="H181" s="70">
        <f>VLOOKUP(B181,Data!$B$6:$FI$203,3+'Municipal Detail'!$H$3*2-2)</f>
        <v>662.70927817573011</v>
      </c>
      <c r="I181" s="38"/>
    </row>
    <row r="182" spans="2:9" x14ac:dyDescent="0.45">
      <c r="B182" s="35">
        <v>178</v>
      </c>
      <c r="C182" s="35">
        <v>178</v>
      </c>
      <c r="D182" s="57" t="s">
        <v>120</v>
      </c>
      <c r="E182" s="70">
        <f>VLOOKUP(B182,Data!$B$6:$FI$203,3+'Municipal Detail'!$E$3*2-2)</f>
        <v>878.19280689586844</v>
      </c>
      <c r="F182" s="71"/>
      <c r="H182" s="70">
        <f>VLOOKUP(B182,Data!$B$6:$FI$203,3+'Municipal Detail'!$H$3*2-2)</f>
        <v>802.69140014084633</v>
      </c>
      <c r="I182" s="38"/>
    </row>
    <row r="183" spans="2:9" x14ac:dyDescent="0.45">
      <c r="B183" s="35">
        <v>179</v>
      </c>
      <c r="C183" s="35">
        <v>179</v>
      </c>
      <c r="D183" s="39"/>
      <c r="E183" s="37"/>
      <c r="F183" s="38"/>
      <c r="H183" s="37"/>
      <c r="I183" s="38"/>
    </row>
    <row r="184" spans="2:9" x14ac:dyDescent="0.45">
      <c r="B184" s="35">
        <v>180</v>
      </c>
      <c r="C184" s="35">
        <v>180</v>
      </c>
      <c r="D184" s="72" t="s">
        <v>269</v>
      </c>
      <c r="E184" s="70">
        <f>VLOOKUP(B184,Data!$B$6:$FI$203,3+'Municipal Detail'!$E$3*2-1)</f>
        <v>1914</v>
      </c>
      <c r="H184" s="70">
        <f>VLOOKUP(B184,Data!$B$6:$FI$203,3+'Municipal Detail'!$H$3*2-1)</f>
        <v>1759</v>
      </c>
    </row>
    <row r="185" spans="2:9" x14ac:dyDescent="0.45">
      <c r="B185" s="35">
        <v>181</v>
      </c>
      <c r="C185" s="35">
        <v>181</v>
      </c>
      <c r="D185" s="39"/>
      <c r="E185" s="37"/>
      <c r="F185" s="38"/>
      <c r="H185" s="37"/>
      <c r="I185" s="38"/>
    </row>
    <row r="186" spans="2:9" x14ac:dyDescent="0.45">
      <c r="B186" s="35">
        <v>182</v>
      </c>
      <c r="C186" s="35">
        <v>182</v>
      </c>
      <c r="D186" s="36" t="s">
        <v>145</v>
      </c>
      <c r="E186" s="40" t="s">
        <v>254</v>
      </c>
      <c r="F186" s="41" t="s">
        <v>257</v>
      </c>
      <c r="G186" s="42"/>
      <c r="H186" s="40" t="s">
        <v>254</v>
      </c>
      <c r="I186" s="41" t="s">
        <v>257</v>
      </c>
    </row>
    <row r="187" spans="2:9" x14ac:dyDescent="0.45">
      <c r="B187" s="35">
        <v>183</v>
      </c>
      <c r="C187" s="35">
        <v>183</v>
      </c>
      <c r="D187" s="61" t="s">
        <v>146</v>
      </c>
      <c r="E187" s="44">
        <f>VLOOKUP(B187,Data!$B$6:$FI$203,3+'Municipal Detail'!$E$3*2-2)</f>
        <v>35855</v>
      </c>
      <c r="F187" s="76">
        <f>VLOOKUP(B187,Data!$B$6:$FI$203,3+'Municipal Detail'!$E$3*2-1)</f>
        <v>58.836560551361991</v>
      </c>
      <c r="H187" s="44">
        <f>VLOOKUP(B187,Data!$B$6:$FI$203,3+'Municipal Detail'!$H$3*2-2)</f>
        <v>1755423</v>
      </c>
      <c r="I187" s="81">
        <f>VLOOKUP(B187,Data!$B$6:$FI$203,3+'Municipal Detail'!$H$3*2-1)</f>
        <v>73.441501309704947</v>
      </c>
    </row>
    <row r="188" spans="2:9" x14ac:dyDescent="0.45">
      <c r="B188" s="35">
        <v>184</v>
      </c>
      <c r="C188" s="35">
        <v>184</v>
      </c>
      <c r="D188" s="57" t="s">
        <v>147</v>
      </c>
      <c r="E188" s="44">
        <f>VLOOKUP(B188,Data!$B$6:$FI$203,3+'Municipal Detail'!$E$3*2-2)</f>
        <v>15576</v>
      </c>
      <c r="F188" s="76">
        <f>VLOOKUP(B188,Data!$B$6:$FI$203,3+'Municipal Detail'!$E$3*2-1)</f>
        <v>25.559566787003611</v>
      </c>
      <c r="H188" s="44">
        <f>VLOOKUP(B188,Data!$B$6:$FI$203,3+'Municipal Detail'!$H$3*2-2)</f>
        <v>332251</v>
      </c>
      <c r="I188" s="81">
        <f>VLOOKUP(B188,Data!$B$6:$FI$203,3+'Municipal Detail'!$H$3*2-1)</f>
        <v>13.900360341439516</v>
      </c>
    </row>
    <row r="189" spans="2:9" x14ac:dyDescent="0.45">
      <c r="B189" s="35">
        <v>185</v>
      </c>
      <c r="C189" s="35">
        <v>185</v>
      </c>
      <c r="D189" s="57" t="s">
        <v>148</v>
      </c>
      <c r="E189" s="44">
        <f>VLOOKUP(B189,Data!$B$6:$FI$203,3+'Municipal Detail'!$E$3*2-2)</f>
        <v>9155</v>
      </c>
      <c r="F189" s="76">
        <f>VLOOKUP(B189,Data!$B$6:$FI$203,3+'Municipal Detail'!$E$3*2-1)</f>
        <v>15.022973416475221</v>
      </c>
      <c r="H189" s="44">
        <f>VLOOKUP(B189,Data!$B$6:$FI$203,3+'Municipal Detail'!$H$3*2-2)</f>
        <v>289120</v>
      </c>
      <c r="I189" s="81">
        <f>VLOOKUP(B189,Data!$B$6:$FI$203,3+'Municipal Detail'!$H$3*2-1)</f>
        <v>12.095891906772268</v>
      </c>
    </row>
    <row r="190" spans="2:9" x14ac:dyDescent="0.45">
      <c r="B190" s="35">
        <v>186</v>
      </c>
      <c r="C190" s="35">
        <v>186</v>
      </c>
      <c r="D190" s="57" t="s">
        <v>143</v>
      </c>
      <c r="E190" s="44">
        <f>VLOOKUP(B190,Data!$B$6:$FI$203,3+'Municipal Detail'!$E$3*2-2)</f>
        <v>306</v>
      </c>
      <c r="F190" s="76">
        <f>VLOOKUP(B190,Data!$B$6:$FI$203,3+'Municipal Detail'!$E$3*2-1)</f>
        <v>0.50213324581555629</v>
      </c>
      <c r="H190" s="44">
        <f>VLOOKUP(B190,Data!$B$6:$FI$203,3+'Municipal Detail'!$H$3*2-2)</f>
        <v>10455</v>
      </c>
      <c r="I190" s="81">
        <f>VLOOKUP(B190,Data!$B$6:$FI$203,3+'Municipal Detail'!$H$3*2-1)</f>
        <v>0.43740505632714466</v>
      </c>
    </row>
    <row r="191" spans="2:9" x14ac:dyDescent="0.45">
      <c r="B191" s="35">
        <v>187</v>
      </c>
      <c r="C191" s="35">
        <v>187</v>
      </c>
      <c r="D191" s="57" t="s">
        <v>62</v>
      </c>
      <c r="E191" s="44">
        <f>VLOOKUP(B191,Data!$B$6:$FI$203,3+'Municipal Detail'!$E$3*2-2)</f>
        <v>48</v>
      </c>
      <c r="F191" s="76">
        <f>VLOOKUP(B191,Data!$B$6:$FI$203,3+'Municipal Detail'!$E$3*2-1)</f>
        <v>7.8765999343616666E-2</v>
      </c>
      <c r="H191" s="44">
        <f>VLOOKUP(B191,Data!$B$6:$FI$203,3+'Municipal Detail'!$H$3*2-2)</f>
        <v>2984</v>
      </c>
      <c r="I191" s="81">
        <f>VLOOKUP(B191,Data!$B$6:$FI$203,3+'Municipal Detail'!$H$3*2-1)</f>
        <v>0.12484138575611667</v>
      </c>
    </row>
    <row r="192" spans="2:9" x14ac:dyDescent="0.45">
      <c r="B192" s="35">
        <v>188</v>
      </c>
      <c r="C192" s="35">
        <v>188</v>
      </c>
      <c r="D192" s="57" t="s">
        <v>149</v>
      </c>
      <c r="E192" s="44">
        <f>VLOOKUP(B192,Data!$B$6:$FI$203,3+'Municipal Detail'!$E$3*2-2)</f>
        <v>4731</v>
      </c>
      <c r="F192" s="76">
        <f>VLOOKUP(B192,Data!$B$6:$FI$203,3+'Municipal Detail'!$E$3*2-1)</f>
        <v>7.2040931309101426</v>
      </c>
      <c r="H192" s="44">
        <f>VLOOKUP(B192,Data!$B$6:$FI$203,3+'Municipal Detail'!$H$3*2-2)</f>
        <v>298029</v>
      </c>
      <c r="I192" s="81">
        <f>VLOOKUP(B192,Data!$B$6:$FI$203,3+'Municipal Detail'!$H$3*2-1)</f>
        <v>11.086307807795521</v>
      </c>
    </row>
    <row r="193" spans="2:9" x14ac:dyDescent="0.45">
      <c r="B193" s="35">
        <v>189</v>
      </c>
      <c r="C193" s="35">
        <v>189</v>
      </c>
      <c r="D193" s="39"/>
      <c r="E193" s="37"/>
      <c r="F193" s="38"/>
      <c r="H193" s="37"/>
      <c r="I193" s="38"/>
    </row>
    <row r="194" spans="2:9" x14ac:dyDescent="0.45">
      <c r="B194" s="35">
        <v>190</v>
      </c>
      <c r="C194" s="35">
        <v>190</v>
      </c>
      <c r="D194" s="36" t="s">
        <v>150</v>
      </c>
      <c r="E194" s="40" t="s">
        <v>254</v>
      </c>
      <c r="F194" s="41" t="s">
        <v>257</v>
      </c>
      <c r="G194" s="42"/>
      <c r="H194" s="40" t="s">
        <v>254</v>
      </c>
      <c r="I194" s="41" t="s">
        <v>257</v>
      </c>
    </row>
    <row r="195" spans="2:9" x14ac:dyDescent="0.45">
      <c r="B195" s="35">
        <v>191</v>
      </c>
      <c r="C195" s="35">
        <v>191</v>
      </c>
      <c r="D195" s="61" t="s">
        <v>151</v>
      </c>
      <c r="E195" s="44">
        <f>VLOOKUP(B195,Data!$B$6:$FI$203,3+'Municipal Detail'!$E$3*2-2)</f>
        <v>21078</v>
      </c>
      <c r="F195" s="76">
        <f>VLOOKUP(B195,Data!$B$6:$FI$203,3+'Municipal Detail'!$E$3*2-1)</f>
        <v>35.036569148936167</v>
      </c>
      <c r="H195" s="44">
        <f>VLOOKUP(B195,Data!$B$6:$FI$203,3+'Municipal Detail'!$H$3*2-2)</f>
        <v>768730</v>
      </c>
      <c r="I195" s="81">
        <f>VLOOKUP(B195,Data!$B$6:$FI$203,3+'Municipal Detail'!$H$3*2-1)</f>
        <v>32.648576654906506</v>
      </c>
    </row>
    <row r="196" spans="2:9" x14ac:dyDescent="0.45">
      <c r="B196" s="35">
        <v>192</v>
      </c>
      <c r="C196" s="35">
        <v>192</v>
      </c>
      <c r="D196" s="57" t="s">
        <v>152</v>
      </c>
      <c r="E196" s="44">
        <f>VLOOKUP(B196,Data!$B$6:$FI$203,3+'Municipal Detail'!$E$3*2-2)</f>
        <v>22854</v>
      </c>
      <c r="F196" s="76">
        <f>VLOOKUP(B196,Data!$B$6:$FI$203,3+'Municipal Detail'!$E$3*2-1)</f>
        <v>37.988696808510639</v>
      </c>
      <c r="H196" s="44">
        <f>VLOOKUP(B196,Data!$B$6:$FI$203,3+'Municipal Detail'!$H$3*2-2)</f>
        <v>862658</v>
      </c>
      <c r="I196" s="81">
        <f>VLOOKUP(B196,Data!$B$6:$FI$203,3+'Municipal Detail'!$H$3*2-1)</f>
        <v>36.637773782691369</v>
      </c>
    </row>
    <row r="197" spans="2:9" x14ac:dyDescent="0.45">
      <c r="B197" s="35">
        <v>193</v>
      </c>
      <c r="C197" s="35">
        <v>193</v>
      </c>
      <c r="D197" s="57" t="s">
        <v>153</v>
      </c>
      <c r="E197" s="44">
        <f>VLOOKUP(B197,Data!$B$6:$FI$203,3+'Municipal Detail'!$E$3*2-2)</f>
        <v>15286</v>
      </c>
      <c r="F197" s="76">
        <f>VLOOKUP(B197,Data!$B$6:$FI$203,3+'Municipal Detail'!$E$3*2-1)</f>
        <v>25.408909574468087</v>
      </c>
      <c r="H197" s="44">
        <f>VLOOKUP(B197,Data!$B$6:$FI$203,3+'Municipal Detail'!$H$3*2-2)</f>
        <v>681419</v>
      </c>
      <c r="I197" s="81">
        <f>VLOOKUP(B197,Data!$B$6:$FI$203,3+'Municipal Detail'!$H$3*2-1)</f>
        <v>28.940408798420425</v>
      </c>
    </row>
    <row r="198" spans="2:9" x14ac:dyDescent="0.45">
      <c r="B198" s="35">
        <v>194</v>
      </c>
      <c r="C198" s="35">
        <v>194</v>
      </c>
      <c r="D198" s="57" t="s">
        <v>143</v>
      </c>
      <c r="E198" s="44">
        <f>VLOOKUP(B198,Data!$B$6:$FI$203,3+'Municipal Detail'!$E$3*2-2)</f>
        <v>942</v>
      </c>
      <c r="F198" s="76">
        <f>VLOOKUP(B198,Data!$B$6:$FI$203,3+'Municipal Detail'!$E$3*2-1)</f>
        <v>1.5658244680851066</v>
      </c>
      <c r="H198" s="44">
        <f>VLOOKUP(B198,Data!$B$6:$FI$203,3+'Municipal Detail'!$H$3*2-2)</f>
        <v>41752</v>
      </c>
      <c r="I198" s="81">
        <f>VLOOKUP(B198,Data!$B$6:$FI$203,3+'Municipal Detail'!$H$3*2-1)</f>
        <v>1.7732407639817052</v>
      </c>
    </row>
    <row r="199" spans="2:9" x14ac:dyDescent="0.45">
      <c r="B199" s="35">
        <v>195</v>
      </c>
      <c r="C199" s="35">
        <v>195</v>
      </c>
      <c r="D199" s="57" t="s">
        <v>62</v>
      </c>
      <c r="E199" s="73">
        <f>VLOOKUP(B199,Data!$B$6:$FI$203,3+'Municipal Detail'!$E$3*2-2)</f>
        <v>776</v>
      </c>
      <c r="F199" s="80">
        <f>VLOOKUP(B199,Data!$B$6:$FI$203,3+'Municipal Detail'!$E$3*2-1)</f>
        <v>1.2898936170212765</v>
      </c>
      <c r="H199" s="73">
        <f>VLOOKUP(B199,Data!$B$6:$FI$203,3+'Municipal Detail'!$H$3*2-2)</f>
        <v>35676</v>
      </c>
      <c r="I199" s="87">
        <f>VLOOKUP(B199,Data!$B$6:$FI$203,3+'Municipal Detail'!$H$3*2-1)</f>
        <v>1.5151881944771823</v>
      </c>
    </row>
    <row r="200" spans="2:9" x14ac:dyDescent="0.45">
      <c r="B200" s="35">
        <v>196</v>
      </c>
      <c r="C200" s="35">
        <v>196</v>
      </c>
      <c r="D200" s="57" t="s">
        <v>154</v>
      </c>
      <c r="E200" s="44">
        <f>VLOOKUP(B200,Data!$B$6:$FI$203,3+'Municipal Detail'!$E$3*2-2)</f>
        <v>1206</v>
      </c>
      <c r="F200" s="76">
        <f>VLOOKUP(B200,Data!$B$6:$FI$203,3+'Municipal Detail'!$E$3*2-1)</f>
        <v>2.0046542553191489</v>
      </c>
      <c r="H200" s="44">
        <f>VLOOKUP(B200,Data!$B$6:$FI$203,3+'Municipal Detail'!$H$3*2-2)</f>
        <v>60788</v>
      </c>
      <c r="I200" s="81">
        <f>VLOOKUP(B200,Data!$B$6:$FI$203,3+'Municipal Detail'!$H$3*2-1)</f>
        <v>2.5817148773931766</v>
      </c>
    </row>
    <row r="201" spans="2:9" ht="28.9" customHeight="1" x14ac:dyDescent="0.45">
      <c r="B201" s="35">
        <v>197</v>
      </c>
      <c r="C201" s="35">
        <v>197</v>
      </c>
      <c r="D201" s="39"/>
      <c r="E201" s="74" t="s">
        <v>258</v>
      </c>
      <c r="F201" s="38"/>
      <c r="H201" s="74" t="s">
        <v>258</v>
      </c>
      <c r="I201" s="38"/>
    </row>
    <row r="202" spans="2:9" x14ac:dyDescent="0.45">
      <c r="B202" s="35">
        <v>198</v>
      </c>
      <c r="C202" s="35">
        <v>198</v>
      </c>
      <c r="D202" s="67" t="s">
        <v>265</v>
      </c>
      <c r="E202" s="95">
        <f>VLOOKUP(B202,Data!$B$6:$FI$203,3+'Municipal Detail'!$E$3*2-1)</f>
        <v>1.6935315294390896</v>
      </c>
      <c r="H202" s="95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423863</xdr:colOff>
                    <xdr:row>1</xdr:row>
                    <xdr:rowOff>157163</xdr:rowOff>
                  </from>
                  <to>
                    <xdr:col>3</xdr:col>
                    <xdr:colOff>1814513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261938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RowHeight="14.25" x14ac:dyDescent="0.45"/>
  <cols>
    <col min="1" max="1" width="5.19921875" style="33" customWidth="1"/>
    <col min="2" max="2" width="3.73046875" style="135" customWidth="1"/>
    <col min="3" max="3" width="7.9296875" style="33" customWidth="1"/>
    <col min="4" max="10" width="7.19921875" style="33" customWidth="1"/>
    <col min="11" max="11" width="1.53125" style="33" customWidth="1"/>
    <col min="12" max="12" width="7.796875" style="33" customWidth="1"/>
    <col min="13" max="15" width="7.19921875" style="33" customWidth="1"/>
    <col min="16" max="16" width="5" style="121" customWidth="1"/>
    <col min="17" max="17" width="9.06640625" style="121"/>
    <col min="18" max="18" width="12.6640625" style="121" customWidth="1"/>
    <col min="19" max="23" width="9.06640625" style="121"/>
    <col min="24" max="25" width="9.06640625" style="122"/>
    <col min="26" max="75" width="9.06640625" style="123"/>
    <col min="76" max="16384" width="9.06640625" style="33"/>
  </cols>
  <sheetData>
    <row r="1" spans="1:75" ht="25.15" customHeight="1" x14ac:dyDescent="0.45">
      <c r="A1" s="118"/>
      <c r="B1" s="119"/>
      <c r="C1" s="144" t="str" cm="1">
        <f t="array" ref="C1">CONCATENATE("What the 2021 Census tells us about ",INDEX('Municipal Detail'!R5:R85,Infographic!G2))</f>
        <v>What the 2021 Census tells us about Kingston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20"/>
    </row>
    <row r="2" spans="1:75" ht="15.75" x14ac:dyDescent="0.5">
      <c r="A2" s="118"/>
      <c r="B2" s="119"/>
      <c r="C2" s="138" t="s">
        <v>300</v>
      </c>
      <c r="D2" s="139"/>
      <c r="E2" s="139"/>
      <c r="F2" s="139"/>
      <c r="G2" s="124">
        <v>35</v>
      </c>
      <c r="H2" s="123"/>
      <c r="I2" s="123"/>
      <c r="J2" s="123"/>
      <c r="K2" s="123"/>
      <c r="L2" s="123"/>
      <c r="M2" s="123"/>
      <c r="N2" s="123"/>
      <c r="O2" s="123"/>
      <c r="P2" s="120"/>
      <c r="S2" s="121" t="str" cm="1">
        <f t="array" ref="S2">INDEX('Municipal Detail'!R5:R85,Infographic!G2)</f>
        <v>Kingston</v>
      </c>
    </row>
    <row r="3" spans="1:75" ht="14.65" thickBot="1" x14ac:dyDescent="0.5">
      <c r="A3" s="118"/>
      <c r="B3" s="119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0"/>
      <c r="S3" s="121" t="s">
        <v>10</v>
      </c>
    </row>
    <row r="4" spans="1:75" s="128" customFormat="1" ht="19.5" x14ac:dyDescent="0.6">
      <c r="A4" s="118"/>
      <c r="B4" s="119"/>
      <c r="C4" s="125" t="s">
        <v>274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0"/>
      <c r="Q4" s="121"/>
      <c r="R4" s="121"/>
      <c r="S4" s="127" t="str">
        <f>'Municipal Detail'!D17</f>
        <v>Australia</v>
      </c>
      <c r="T4" s="127">
        <f>'Municipal Detail'!F17</f>
        <v>67.010935601458073</v>
      </c>
      <c r="U4" s="121"/>
      <c r="V4" s="121"/>
      <c r="W4" s="121"/>
      <c r="X4" s="122"/>
      <c r="Y4" s="122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</row>
    <row r="5" spans="1:75" x14ac:dyDescent="0.45">
      <c r="A5" s="118"/>
      <c r="B5" s="119"/>
      <c r="C5" s="145" t="str">
        <f>CONCATENATE(ROUND(100-'Municipal Detail'!F17,0),"%")</f>
        <v>33%</v>
      </c>
      <c r="D5" s="146" t="s">
        <v>280</v>
      </c>
      <c r="E5" s="146"/>
      <c r="F5" s="146"/>
      <c r="G5" s="123"/>
      <c r="H5" s="123"/>
      <c r="I5" s="123"/>
      <c r="J5" s="123"/>
      <c r="K5" s="123"/>
      <c r="L5" s="145" t="str">
        <f>CONCATENATE(ROUND('Municipal Detail'!F72,1),"%")</f>
        <v>1.5%</v>
      </c>
      <c r="M5" s="146" t="s">
        <v>281</v>
      </c>
      <c r="N5" s="146"/>
      <c r="O5" s="146"/>
      <c r="P5" s="120"/>
      <c r="S5" s="127" t="str">
        <f>'Municipal Detail'!D18</f>
        <v>England</v>
      </c>
      <c r="T5" s="127">
        <f>'Municipal Detail'!F18</f>
        <v>3.9960020381766159</v>
      </c>
    </row>
    <row r="6" spans="1:75" x14ac:dyDescent="0.45">
      <c r="A6" s="118"/>
      <c r="B6" s="119"/>
      <c r="C6" s="145"/>
      <c r="D6" s="146"/>
      <c r="E6" s="146"/>
      <c r="F6" s="146"/>
      <c r="G6" s="123"/>
      <c r="H6" s="123"/>
      <c r="I6" s="123"/>
      <c r="J6" s="123"/>
      <c r="K6" s="123"/>
      <c r="L6" s="145"/>
      <c r="M6" s="146"/>
      <c r="N6" s="146"/>
      <c r="O6" s="146"/>
      <c r="P6" s="120"/>
      <c r="S6" s="127" t="str">
        <f>'Municipal Detail'!D19</f>
        <v>India</v>
      </c>
      <c r="T6" s="127">
        <f>'Municipal Detail'!F19</f>
        <v>3.7314310351585465</v>
      </c>
    </row>
    <row r="7" spans="1:75" x14ac:dyDescent="0.45">
      <c r="A7" s="118"/>
      <c r="B7" s="119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0"/>
      <c r="S7" s="127" t="str">
        <f>'Municipal Detail'!D20</f>
        <v>China</v>
      </c>
      <c r="T7" s="127">
        <f>'Municipal Detail'!F20</f>
        <v>2.9063614627836789</v>
      </c>
    </row>
    <row r="8" spans="1:75" x14ac:dyDescent="0.45">
      <c r="A8" s="118"/>
      <c r="B8" s="119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0"/>
      <c r="S8" s="127" t="str">
        <f>'Municipal Detail'!D21</f>
        <v>Greece</v>
      </c>
      <c r="T8" s="127">
        <f>'Municipal Detail'!F21</f>
        <v>1.9349612615790643</v>
      </c>
    </row>
    <row r="9" spans="1:75" x14ac:dyDescent="0.45">
      <c r="A9" s="118"/>
      <c r="B9" s="119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0"/>
      <c r="S9" s="127" t="str">
        <f>'Municipal Detail'!D22</f>
        <v>New Zealand</v>
      </c>
      <c r="T9" s="127">
        <f>'Municipal Detail'!F22</f>
        <v>1.5475770522217431</v>
      </c>
    </row>
    <row r="10" spans="1:75" x14ac:dyDescent="0.45">
      <c r="A10" s="118"/>
      <c r="B10" s="119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0"/>
      <c r="S10" s="127" t="str">
        <f>'Municipal Detail'!D23</f>
        <v>Vietnam</v>
      </c>
      <c r="T10" s="127">
        <f>'Municipal Detail'!F23</f>
        <v>1.0713492467892185</v>
      </c>
    </row>
    <row r="11" spans="1:75" x14ac:dyDescent="0.45">
      <c r="A11" s="118"/>
      <c r="B11" s="119"/>
      <c r="C11" s="123"/>
      <c r="D11" s="123"/>
      <c r="E11" s="123"/>
      <c r="F11" s="123"/>
      <c r="G11" s="147" t="str">
        <f>CONCATENATE("Major birthplaces include ",S5,", ",S6," and ",S7)</f>
        <v>Major birthplaces include England, India and China</v>
      </c>
      <c r="H11" s="147"/>
      <c r="I11" s="147"/>
      <c r="J11" s="147"/>
      <c r="K11" s="123"/>
      <c r="L11" s="123"/>
      <c r="M11" s="123"/>
      <c r="N11" s="123"/>
      <c r="O11" s="123"/>
      <c r="P11" s="120"/>
      <c r="S11" s="127" t="str">
        <f>'Municipal Detail'!D24</f>
        <v>Sri Lanka</v>
      </c>
      <c r="T11" s="127">
        <f>'Municipal Detail'!F24</f>
        <v>1.0295404956950052</v>
      </c>
    </row>
    <row r="12" spans="1:75" ht="32.65" customHeight="1" thickBot="1" x14ac:dyDescent="0.5">
      <c r="A12" s="118"/>
      <c r="B12" s="119"/>
      <c r="C12" s="123"/>
      <c r="D12" s="123"/>
      <c r="E12" s="123"/>
      <c r="F12" s="123"/>
      <c r="G12" s="147"/>
      <c r="H12" s="147"/>
      <c r="I12" s="147"/>
      <c r="J12" s="147"/>
      <c r="K12" s="123"/>
      <c r="L12" s="123"/>
      <c r="M12" s="123"/>
      <c r="N12" s="123"/>
      <c r="O12" s="123"/>
      <c r="P12" s="120"/>
      <c r="S12" s="127" t="str">
        <f>'Municipal Detail'!D24</f>
        <v>Sri Lanka</v>
      </c>
      <c r="T12" s="127">
        <f>'Municipal Detail'!F24</f>
        <v>1.0295404956950052</v>
      </c>
    </row>
    <row r="13" spans="1:75" s="128" customFormat="1" ht="20.65" x14ac:dyDescent="0.6">
      <c r="A13" s="118"/>
      <c r="B13" s="119"/>
      <c r="C13" s="125" t="s">
        <v>67</v>
      </c>
      <c r="D13" s="126"/>
      <c r="E13" s="126"/>
      <c r="F13" s="126"/>
      <c r="G13" s="126"/>
      <c r="H13" s="126"/>
      <c r="I13" s="126"/>
      <c r="J13" s="126"/>
      <c r="K13" s="123"/>
      <c r="L13" s="125" t="s">
        <v>275</v>
      </c>
      <c r="M13" s="129"/>
      <c r="N13" s="126"/>
      <c r="O13" s="126"/>
      <c r="P13" s="120"/>
      <c r="Q13" s="121"/>
      <c r="R13" s="121"/>
      <c r="S13" s="121" t="s">
        <v>282</v>
      </c>
      <c r="T13" s="121"/>
      <c r="U13" s="121"/>
      <c r="V13" s="121"/>
      <c r="W13" s="121"/>
      <c r="X13" s="122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</row>
    <row r="14" spans="1:75" ht="14.25" customHeight="1" x14ac:dyDescent="0.45">
      <c r="A14" s="118"/>
      <c r="B14" s="119"/>
      <c r="C14" s="145" t="str">
        <f>CONCATENATE(ROUNDUP(100-'Municipal Detail'!F75,0),"%")</f>
        <v>27%</v>
      </c>
      <c r="D14" s="146" t="s">
        <v>283</v>
      </c>
      <c r="E14" s="146"/>
      <c r="F14" s="146"/>
      <c r="G14" s="123"/>
      <c r="H14" s="123"/>
      <c r="I14" s="123"/>
      <c r="J14" s="123"/>
      <c r="K14" s="123"/>
      <c r="L14" s="145" t="str">
        <f>CONCATENATE(ROUND(S23,1),"%")</f>
        <v>4.3%</v>
      </c>
      <c r="M14" s="146" t="s">
        <v>284</v>
      </c>
      <c r="N14" s="146"/>
      <c r="O14" s="146"/>
      <c r="P14" s="120"/>
      <c r="S14" s="130" t="str">
        <f>'Municipal Detail'!D75</f>
        <v>English only</v>
      </c>
      <c r="T14" s="127">
        <f>'Municipal Detail'!F75</f>
        <v>73.069187581480975</v>
      </c>
    </row>
    <row r="15" spans="1:75" x14ac:dyDescent="0.45">
      <c r="A15" s="118"/>
      <c r="B15" s="119"/>
      <c r="C15" s="145"/>
      <c r="D15" s="146"/>
      <c r="E15" s="146"/>
      <c r="F15" s="146"/>
      <c r="G15" s="123"/>
      <c r="H15" s="123"/>
      <c r="I15" s="123"/>
      <c r="J15" s="123"/>
      <c r="K15" s="123"/>
      <c r="L15" s="145"/>
      <c r="M15" s="146"/>
      <c r="N15" s="146"/>
      <c r="O15" s="146"/>
      <c r="P15" s="120"/>
      <c r="S15" s="130" t="str">
        <f>'Municipal Detail'!D76</f>
        <v>Greek</v>
      </c>
      <c r="T15" s="127">
        <f>'Municipal Detail'!F76</f>
        <v>4.3310207477578402</v>
      </c>
    </row>
    <row r="16" spans="1:75" x14ac:dyDescent="0.45">
      <c r="A16" s="118"/>
      <c r="B16" s="119"/>
      <c r="C16" s="123"/>
      <c r="D16" s="146"/>
      <c r="E16" s="146"/>
      <c r="F16" s="146"/>
      <c r="G16" s="123"/>
      <c r="H16" s="123"/>
      <c r="I16" s="123"/>
      <c r="J16" s="123"/>
      <c r="K16" s="123"/>
      <c r="L16" s="123"/>
      <c r="M16" s="146"/>
      <c r="N16" s="146"/>
      <c r="O16" s="146"/>
      <c r="P16" s="120"/>
      <c r="S16" s="130" t="str">
        <f>'Municipal Detail'!D77</f>
        <v>Mandarin</v>
      </c>
      <c r="T16" s="127">
        <f>'Municipal Detail'!F77</f>
        <v>3.5815595867481642</v>
      </c>
    </row>
    <row r="17" spans="1:75" x14ac:dyDescent="0.45">
      <c r="A17" s="118"/>
      <c r="B17" s="119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0"/>
      <c r="S17" s="130" t="str">
        <f>'Municipal Detail'!D78</f>
        <v>Russian</v>
      </c>
      <c r="T17" s="127">
        <f>'Municipal Detail'!F78</f>
        <v>1.3633117797737204</v>
      </c>
    </row>
    <row r="18" spans="1:75" x14ac:dyDescent="0.45">
      <c r="A18" s="118"/>
      <c r="B18" s="119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0"/>
      <c r="S18" s="130" t="str">
        <f>'Municipal Detail'!D79</f>
        <v>Italian</v>
      </c>
      <c r="T18" s="127">
        <f>'Municipal Detail'!F79</f>
        <v>1.3095916615894603</v>
      </c>
    </row>
    <row r="19" spans="1:75" x14ac:dyDescent="0.45">
      <c r="A19" s="118"/>
      <c r="B19" s="119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0"/>
      <c r="S19" s="130" t="str">
        <f>'Municipal Detail'!D80</f>
        <v>Vietnamese</v>
      </c>
      <c r="T19" s="127">
        <f>'Municipal Detail'!F80</f>
        <v>1.131398098831915</v>
      </c>
    </row>
    <row r="20" spans="1:75" x14ac:dyDescent="0.45">
      <c r="A20" s="118"/>
      <c r="B20" s="119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0"/>
      <c r="S20" s="130" t="str">
        <f>'Municipal Detail'!D81</f>
        <v>Cantonese</v>
      </c>
      <c r="T20" s="127">
        <f>'Municipal Detail'!F81</f>
        <v>1.1078136567022399</v>
      </c>
    </row>
    <row r="21" spans="1:75" x14ac:dyDescent="0.45">
      <c r="A21" s="118"/>
      <c r="B21" s="119"/>
      <c r="C21" s="123"/>
      <c r="D21" s="123"/>
      <c r="E21" s="123"/>
      <c r="F21" s="123"/>
      <c r="G21" s="147" t="str">
        <f>CONCATENATE("Major spoken languages include ",S15,", ",S16," and ",S17)</f>
        <v>Major spoken languages include Greek, Mandarin and Russian</v>
      </c>
      <c r="H21" s="147"/>
      <c r="I21" s="147"/>
      <c r="J21" s="147"/>
      <c r="K21" s="123"/>
      <c r="L21" s="123"/>
      <c r="M21" s="123"/>
      <c r="N21" s="123"/>
      <c r="O21" s="123"/>
      <c r="P21" s="120"/>
      <c r="S21" s="130" t="str">
        <f>'Municipal Detail'!D82</f>
        <v>Hindi</v>
      </c>
      <c r="T21" s="127">
        <f>'Municipal Detail'!F82</f>
        <v>0.99382218640881004</v>
      </c>
    </row>
    <row r="22" spans="1:75" ht="33.4" customHeight="1" thickBot="1" x14ac:dyDescent="0.5">
      <c r="A22" s="118"/>
      <c r="B22" s="119"/>
      <c r="C22" s="123"/>
      <c r="D22" s="123"/>
      <c r="E22" s="123"/>
      <c r="F22" s="123"/>
      <c r="G22" s="147"/>
      <c r="H22" s="147"/>
      <c r="I22" s="147"/>
      <c r="J22" s="147"/>
      <c r="K22" s="123"/>
      <c r="L22" s="123"/>
      <c r="M22" s="123"/>
      <c r="N22" s="123"/>
      <c r="O22" s="123"/>
      <c r="P22" s="120"/>
      <c r="S22" s="130" t="str">
        <f>'Municipal Detail'!D83</f>
        <v>Spanish</v>
      </c>
      <c r="T22" s="127">
        <f>'Municipal Detail'!F83</f>
        <v>0.79531979848404444</v>
      </c>
    </row>
    <row r="23" spans="1:75" s="128" customFormat="1" ht="20.65" x14ac:dyDescent="0.6">
      <c r="A23" s="118"/>
      <c r="B23" s="119"/>
      <c r="C23" s="125" t="s">
        <v>276</v>
      </c>
      <c r="D23" s="126"/>
      <c r="E23" s="126"/>
      <c r="F23" s="126"/>
      <c r="G23" s="126"/>
      <c r="H23" s="126"/>
      <c r="I23" s="126"/>
      <c r="J23" s="126"/>
      <c r="K23" s="123"/>
      <c r="L23" s="125" t="s">
        <v>277</v>
      </c>
      <c r="M23" s="129"/>
      <c r="N23" s="126"/>
      <c r="O23" s="126"/>
      <c r="P23" s="120"/>
      <c r="Q23" s="121"/>
      <c r="R23" s="131" t="str" cm="1">
        <f t="array" ref="R23">INDEX('Municipal Detail'!R5:R85,Infographic!G2)</f>
        <v>Kingston</v>
      </c>
      <c r="S23" s="127">
        <f>'Municipal Detail'!F133</f>
        <v>4.3115264797507793</v>
      </c>
      <c r="T23" s="121"/>
      <c r="U23" s="121"/>
      <c r="V23" s="121"/>
      <c r="W23" s="121"/>
      <c r="X23" s="122"/>
      <c r="Y23" s="122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</row>
    <row r="24" spans="1:75" x14ac:dyDescent="0.45">
      <c r="A24" s="118"/>
      <c r="B24" s="119"/>
      <c r="C24" s="145" t="str">
        <f>CONCATENATE(ROUND('Municipal Detail'!F138,1),"%")</f>
        <v>6.1%</v>
      </c>
      <c r="D24" s="146" t="s">
        <v>285</v>
      </c>
      <c r="E24" s="146"/>
      <c r="F24" s="146"/>
      <c r="G24" s="123"/>
      <c r="H24" s="123"/>
      <c r="I24" s="123"/>
      <c r="J24" s="123"/>
      <c r="K24" s="123"/>
      <c r="L24" s="145" t="str">
        <f>CONCATENATE("$",ROUNDUP('Municipal Detail'!E182,0))</f>
        <v>$879</v>
      </c>
      <c r="M24" s="150" t="str">
        <f>CONCATENATE(" was the average income - ",ROUNDUP(S35,0),"% of the Victorian level")</f>
        <v xml:space="preserve"> was the average income - 110% of the Victorian level</v>
      </c>
      <c r="N24" s="150"/>
      <c r="O24" s="150"/>
      <c r="P24" s="120"/>
      <c r="R24" s="131" t="s">
        <v>234</v>
      </c>
      <c r="S24" s="127">
        <f>'Municipal Detail'!I133</f>
        <v>7.8358536446851463</v>
      </c>
    </row>
    <row r="25" spans="1:75" x14ac:dyDescent="0.45">
      <c r="A25" s="118"/>
      <c r="B25" s="119"/>
      <c r="C25" s="145"/>
      <c r="D25" s="146"/>
      <c r="E25" s="146"/>
      <c r="F25" s="146"/>
      <c r="G25" s="123"/>
      <c r="H25" s="123"/>
      <c r="I25" s="123"/>
      <c r="J25" s="123"/>
      <c r="K25" s="123"/>
      <c r="L25" s="145"/>
      <c r="M25" s="150"/>
      <c r="N25" s="150"/>
      <c r="O25" s="150"/>
      <c r="P25" s="120"/>
    </row>
    <row r="26" spans="1:75" x14ac:dyDescent="0.45">
      <c r="A26" s="118"/>
      <c r="B26" s="119"/>
      <c r="C26" s="123"/>
      <c r="D26" s="146"/>
      <c r="E26" s="146"/>
      <c r="F26" s="146"/>
      <c r="G26" s="123"/>
      <c r="H26" s="123"/>
      <c r="I26" s="123"/>
      <c r="J26" s="123"/>
      <c r="K26" s="123"/>
      <c r="L26" s="123"/>
      <c r="M26" s="150"/>
      <c r="N26" s="150"/>
      <c r="O26" s="150"/>
      <c r="P26" s="120"/>
      <c r="S26" s="130" t="str">
        <f>'Mid3'!J5</f>
        <v>Mental health</v>
      </c>
      <c r="T26" s="127">
        <f>'Mid3'!K5</f>
        <v>8.6072082256675291</v>
      </c>
    </row>
    <row r="27" spans="1:75" x14ac:dyDescent="0.45">
      <c r="A27" s="118"/>
      <c r="B27" s="119"/>
      <c r="C27" s="123"/>
      <c r="D27" s="146"/>
      <c r="E27" s="146"/>
      <c r="F27" s="146"/>
      <c r="G27" s="123"/>
      <c r="H27" s="123"/>
      <c r="I27" s="123"/>
      <c r="J27" s="123"/>
      <c r="K27" s="123"/>
      <c r="L27" s="123"/>
      <c r="M27" s="123"/>
      <c r="N27" s="123"/>
      <c r="O27" s="123"/>
      <c r="P27" s="120"/>
      <c r="S27" s="130" t="str">
        <f>'Mid3'!J6</f>
        <v xml:space="preserve">Asthma </v>
      </c>
      <c r="T27" s="127">
        <f>'Mid3'!K6</f>
        <v>8.5823105081826014</v>
      </c>
    </row>
    <row r="28" spans="1:75" x14ac:dyDescent="0.45">
      <c r="A28" s="118"/>
      <c r="B28" s="119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0"/>
      <c r="S28" s="130" t="str">
        <f>'Mid3'!J7</f>
        <v xml:space="preserve">Arthritis </v>
      </c>
      <c r="T28" s="127">
        <f>'Mid3'!K7</f>
        <v>8.2660422049956939</v>
      </c>
    </row>
    <row r="29" spans="1:75" x14ac:dyDescent="0.45">
      <c r="A29" s="118"/>
      <c r="B29" s="119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0"/>
      <c r="S29" s="130" t="str">
        <f>'Mid3'!J8</f>
        <v>Diabetes</v>
      </c>
      <c r="T29" s="127">
        <f>'Mid3'!K8</f>
        <v>4.8725506029285093</v>
      </c>
    </row>
    <row r="30" spans="1:75" x14ac:dyDescent="0.45">
      <c r="A30" s="118"/>
      <c r="B30" s="119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0"/>
      <c r="S30" s="130" t="str">
        <f>'Mid3'!J9</f>
        <v>Heart disease</v>
      </c>
      <c r="T30" s="127">
        <f>'Mid3'!K9</f>
        <v>4.2575096899224807</v>
      </c>
    </row>
    <row r="31" spans="1:75" x14ac:dyDescent="0.45">
      <c r="A31" s="118"/>
      <c r="B31" s="119"/>
      <c r="C31" s="123"/>
      <c r="D31" s="123"/>
      <c r="E31" s="123"/>
      <c r="F31" s="123"/>
      <c r="G31" s="147" t="str">
        <f>CONCATENATE("Major chronic conditions include ",LOWER(S26),", ",LOWER(S27)," and ",LOWER(S28))</f>
        <v xml:space="preserve">Major chronic conditions include mental health, asthma  and arthritis </v>
      </c>
      <c r="H31" s="147"/>
      <c r="I31" s="147"/>
      <c r="J31" s="147"/>
      <c r="K31" s="123"/>
      <c r="L31" s="123"/>
      <c r="M31" s="123"/>
      <c r="N31" s="123"/>
      <c r="O31" s="123"/>
      <c r="P31" s="120"/>
      <c r="S31" s="130" t="str">
        <f>'Mid3'!J10</f>
        <v>Cancer</v>
      </c>
      <c r="T31" s="127">
        <f>'Mid3'!K10</f>
        <v>3.2595822566752801</v>
      </c>
    </row>
    <row r="32" spans="1:75" ht="30.75" customHeight="1" thickBot="1" x14ac:dyDescent="0.5">
      <c r="A32" s="118"/>
      <c r="B32" s="119"/>
      <c r="C32" s="123"/>
      <c r="D32" s="123"/>
      <c r="E32" s="123"/>
      <c r="F32" s="123"/>
      <c r="G32" s="147"/>
      <c r="H32" s="147"/>
      <c r="I32" s="147"/>
      <c r="J32" s="147"/>
      <c r="K32" s="123"/>
      <c r="L32" s="123"/>
      <c r="M32" s="123"/>
      <c r="N32" s="123"/>
      <c r="O32" s="123"/>
      <c r="P32" s="120"/>
      <c r="S32" s="130" t="str">
        <f>'Mid3'!J11</f>
        <v>Lung condition</v>
      </c>
      <c r="T32" s="127">
        <f>'Mid3'!K11</f>
        <v>1.515396210163652</v>
      </c>
    </row>
    <row r="33" spans="1:75" s="128" customFormat="1" ht="20.65" x14ac:dyDescent="0.6">
      <c r="A33" s="118"/>
      <c r="B33" s="119"/>
      <c r="C33" s="125" t="s">
        <v>278</v>
      </c>
      <c r="D33" s="126"/>
      <c r="E33" s="126"/>
      <c r="F33" s="126"/>
      <c r="G33" s="126"/>
      <c r="H33" s="126"/>
      <c r="I33" s="126"/>
      <c r="J33" s="126"/>
      <c r="K33" s="123"/>
      <c r="L33" s="125" t="s">
        <v>279</v>
      </c>
      <c r="M33" s="129"/>
      <c r="N33" s="126"/>
      <c r="O33" s="126"/>
      <c r="P33" s="120"/>
      <c r="Q33" s="121"/>
      <c r="R33" s="121"/>
      <c r="S33" s="130" t="str">
        <f>'Mid3'!J12</f>
        <v>Stroke</v>
      </c>
      <c r="T33" s="127">
        <f>'Mid3'!K12</f>
        <v>1.0423395779500431</v>
      </c>
      <c r="U33" s="121"/>
      <c r="V33" s="121"/>
      <c r="W33" s="121"/>
      <c r="X33" s="122"/>
      <c r="Y33" s="122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</row>
    <row r="34" spans="1:75" x14ac:dyDescent="0.45">
      <c r="A34" s="118"/>
      <c r="B34" s="119"/>
      <c r="C34" s="151" t="str">
        <f>CONCATENATE(ROUND('Municipal Detail'!E177,1),"%")</f>
        <v>2.2%</v>
      </c>
      <c r="D34" s="152" t="str">
        <f>CONCATENATE("of women aged 20-24 had given birth - ",ROUNDUP(U37*100,0),"% ",V37," than the State level")</f>
        <v>of women aged 20-24 had given birth - 59% lower than the State level</v>
      </c>
      <c r="E34" s="152"/>
      <c r="F34" s="152"/>
      <c r="G34" s="151" t="str">
        <f>CONCATENATE(ROUNDUP('Municipal Detail'!F174,0),"%")</f>
        <v>16%</v>
      </c>
      <c r="H34" s="146" t="s">
        <v>293</v>
      </c>
      <c r="I34" s="146"/>
      <c r="J34" s="146"/>
      <c r="K34" s="123"/>
      <c r="L34" s="151" t="str">
        <f>CONCATENATE(ROUNDUP('Municipal Detail'!F197,0),"%")</f>
        <v>26%</v>
      </c>
      <c r="M34" s="148" t="s">
        <v>294</v>
      </c>
      <c r="N34" s="148"/>
      <c r="O34" s="148"/>
      <c r="P34" s="120"/>
    </row>
    <row r="35" spans="1:75" x14ac:dyDescent="0.45">
      <c r="A35" s="118"/>
      <c r="B35" s="119"/>
      <c r="C35" s="151"/>
      <c r="D35" s="152"/>
      <c r="E35" s="152"/>
      <c r="F35" s="152"/>
      <c r="G35" s="151"/>
      <c r="H35" s="146"/>
      <c r="I35" s="146"/>
      <c r="J35" s="146"/>
      <c r="K35" s="123"/>
      <c r="L35" s="151"/>
      <c r="M35" s="148"/>
      <c r="N35" s="148"/>
      <c r="O35" s="148"/>
      <c r="P35" s="120"/>
      <c r="R35" s="121" t="s">
        <v>291</v>
      </c>
      <c r="S35" s="132">
        <f>'Municipal Detail'!E182/'Municipal Detail'!H182*100</f>
        <v>109.40603160090841</v>
      </c>
    </row>
    <row r="36" spans="1:75" ht="27.4" customHeight="1" x14ac:dyDescent="0.45">
      <c r="A36" s="118"/>
      <c r="B36" s="119"/>
      <c r="C36" s="123"/>
      <c r="D36" s="152"/>
      <c r="E36" s="152"/>
      <c r="F36" s="152"/>
      <c r="G36" s="123"/>
      <c r="H36" s="123"/>
      <c r="I36" s="123"/>
      <c r="J36" s="123"/>
      <c r="K36" s="123"/>
      <c r="L36" s="123"/>
      <c r="M36" s="123"/>
      <c r="N36" s="123"/>
      <c r="O36" s="123"/>
      <c r="P36" s="120"/>
    </row>
    <row r="37" spans="1:75" ht="27.4" customHeight="1" x14ac:dyDescent="0.45">
      <c r="A37" s="118"/>
      <c r="B37" s="119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0"/>
      <c r="R37" s="121" t="s">
        <v>292</v>
      </c>
      <c r="S37" s="121">
        <f>'Municipal Detail'!E177/'Municipal Detail'!H177</f>
        <v>0.41141792180130837</v>
      </c>
      <c r="U37" s="121">
        <f>ABS(1-S37)</f>
        <v>0.58858207819869168</v>
      </c>
      <c r="V37" s="121" t="str">
        <f>IF(S37&gt;1,"higher","lower")</f>
        <v>lower</v>
      </c>
    </row>
    <row r="38" spans="1:75" x14ac:dyDescent="0.45">
      <c r="A38" s="118"/>
      <c r="B38" s="119"/>
      <c r="C38" s="123"/>
      <c r="D38" s="123"/>
      <c r="E38" s="123"/>
      <c r="F38" s="123"/>
      <c r="G38" s="123"/>
      <c r="H38" s="123"/>
      <c r="I38" s="123"/>
      <c r="J38" s="123"/>
      <c r="K38" s="123"/>
      <c r="L38" s="146" t="str">
        <f>IF(ISNA(Q43),"","In the past 25 years, the average cost of a home has risen from ")</f>
        <v xml:space="preserve">In the past 25 years, the average cost of a home has risen from </v>
      </c>
      <c r="M38" s="146"/>
      <c r="N38" s="146"/>
      <c r="O38" s="146"/>
      <c r="P38" s="120"/>
    </row>
    <row r="39" spans="1:75" x14ac:dyDescent="0.45">
      <c r="A39" s="118"/>
      <c r="B39" s="119"/>
      <c r="C39" s="123"/>
      <c r="D39" s="123"/>
      <c r="E39" s="123"/>
      <c r="F39" s="123"/>
      <c r="G39" s="123"/>
      <c r="H39" s="123"/>
      <c r="I39" s="123"/>
      <c r="J39" s="123"/>
      <c r="K39" s="123"/>
      <c r="L39" s="146"/>
      <c r="M39" s="146"/>
      <c r="N39" s="146"/>
      <c r="O39" s="146"/>
      <c r="P39" s="120"/>
    </row>
    <row r="40" spans="1:75" ht="18.75" customHeight="1" x14ac:dyDescent="0.45">
      <c r="A40" s="118"/>
      <c r="B40" s="119"/>
      <c r="C40" s="123"/>
      <c r="D40" s="123"/>
      <c r="E40" s="123"/>
      <c r="F40" s="123"/>
      <c r="G40" s="123"/>
      <c r="H40" s="123"/>
      <c r="I40" s="123"/>
      <c r="J40" s="123"/>
      <c r="K40" s="123"/>
      <c r="L40" s="136" t="str">
        <f>IF(ISNA(Q43)," ",CONCATENATE(ROUNDUP(U43,1)))</f>
        <v>4</v>
      </c>
      <c r="M40" s="133" t="str">
        <f>IF(ISNA(Q43)," ","to")</f>
        <v>to</v>
      </c>
      <c r="N40" s="137" t="str">
        <f>IF(ISNA(Q43)," ",CONCATENATE(ROUNDUP(V43,1)))</f>
        <v>12.2</v>
      </c>
      <c r="O40" s="123"/>
      <c r="P40" s="120"/>
    </row>
    <row r="41" spans="1:75" ht="17.649999999999999" customHeight="1" x14ac:dyDescent="0.45">
      <c r="A41" s="118"/>
      <c r="B41" s="119"/>
      <c r="C41" s="123"/>
      <c r="D41" s="123"/>
      <c r="E41" s="123"/>
      <c r="F41" s="123"/>
      <c r="G41" s="123"/>
      <c r="H41" s="123"/>
      <c r="I41" s="123"/>
      <c r="J41" s="123"/>
      <c r="K41" s="123"/>
      <c r="L41" s="149" t="str">
        <f>IF(ISNA(Q43)," ","times the median annual household income")</f>
        <v>times the median annual household income</v>
      </c>
      <c r="M41" s="149"/>
      <c r="N41" s="149"/>
      <c r="O41" s="149"/>
      <c r="P41" s="120"/>
    </row>
    <row r="42" spans="1:75" s="123" customFormat="1" ht="16.5" customHeight="1" thickBot="1" x14ac:dyDescent="0.5">
      <c r="A42" s="118"/>
      <c r="B42" s="119"/>
      <c r="L42" s="149"/>
      <c r="M42" s="149"/>
      <c r="N42" s="149"/>
      <c r="O42" s="149"/>
      <c r="P42" s="120"/>
      <c r="Q42" s="121"/>
      <c r="R42" s="121"/>
      <c r="S42" s="115">
        <v>1996</v>
      </c>
      <c r="T42" s="115">
        <v>2021</v>
      </c>
      <c r="U42" s="121"/>
      <c r="V42" s="121"/>
      <c r="W42" s="121"/>
      <c r="X42" s="122"/>
      <c r="Y42" s="122"/>
    </row>
    <row r="43" spans="1:75" ht="14.25" customHeight="1" x14ac:dyDescent="0.45">
      <c r="B43" s="134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Q43" s="121">
        <f>MATCH(S2,R43:R73,0)</f>
        <v>13</v>
      </c>
      <c r="R43" s="116" t="s">
        <v>157</v>
      </c>
      <c r="S43" s="117">
        <v>3.4729421521874353</v>
      </c>
      <c r="T43" s="117">
        <v>10.246290463360024</v>
      </c>
      <c r="U43" s="121">
        <f>VLOOKUP(S2,R43:T73,2)</f>
        <v>3.9735501091967969</v>
      </c>
      <c r="V43" s="121">
        <f>VLOOKUP(S2,R43:T73,3)</f>
        <v>12.107145727835382</v>
      </c>
    </row>
    <row r="44" spans="1:75" x14ac:dyDescent="0.45">
      <c r="R44" s="116" t="s">
        <v>160</v>
      </c>
      <c r="S44" s="117">
        <v>6.0398144568998839</v>
      </c>
      <c r="T44" s="117">
        <v>17.784788592991248</v>
      </c>
    </row>
    <row r="45" spans="1:75" x14ac:dyDescent="0.45">
      <c r="R45" s="116" t="s">
        <v>162</v>
      </c>
      <c r="S45" s="117">
        <v>5.6494621712013018</v>
      </c>
      <c r="T45" s="117">
        <v>20.234395234395233</v>
      </c>
    </row>
    <row r="46" spans="1:75" x14ac:dyDescent="0.45">
      <c r="R46" s="116" t="s">
        <v>163</v>
      </c>
      <c r="S46" s="117">
        <v>3.007518796992481</v>
      </c>
      <c r="T46" s="117">
        <v>9.0942256614567363</v>
      </c>
    </row>
    <row r="47" spans="1:75" x14ac:dyDescent="0.45">
      <c r="R47" s="116" t="s">
        <v>166</v>
      </c>
      <c r="S47" s="117">
        <v>2.9738302934179224</v>
      </c>
      <c r="T47" s="117">
        <v>6.4649864543140954</v>
      </c>
    </row>
    <row r="48" spans="1:75" x14ac:dyDescent="0.45">
      <c r="R48" s="116" t="s">
        <v>167</v>
      </c>
      <c r="S48" s="117">
        <v>2.6674118483893912</v>
      </c>
      <c r="T48" s="117">
        <v>6.9182642175342908</v>
      </c>
    </row>
    <row r="49" spans="18:20" x14ac:dyDescent="0.45">
      <c r="R49" s="116" t="s">
        <v>171</v>
      </c>
      <c r="S49" s="117">
        <v>4.3690015757054868</v>
      </c>
      <c r="T49" s="117">
        <v>12.880094208689069</v>
      </c>
    </row>
    <row r="50" spans="18:20" x14ac:dyDescent="0.45">
      <c r="R50" s="116" t="s">
        <v>173</v>
      </c>
      <c r="S50" s="117">
        <v>2.9277613412228796</v>
      </c>
      <c r="T50" s="117">
        <v>9.0744101633393832</v>
      </c>
    </row>
    <row r="51" spans="18:20" x14ac:dyDescent="0.45">
      <c r="R51" s="116" t="s">
        <v>175</v>
      </c>
      <c r="S51" s="117">
        <v>5.2966734352603915</v>
      </c>
      <c r="T51" s="117">
        <v>15.660499837715028</v>
      </c>
    </row>
    <row r="52" spans="18:20" ht="24" x14ac:dyDescent="0.45">
      <c r="R52" s="116" t="s">
        <v>179</v>
      </c>
      <c r="S52" s="117">
        <v>3.1662445007332356</v>
      </c>
      <c r="T52" s="117">
        <v>10.323468685478321</v>
      </c>
    </row>
    <row r="53" spans="18:20" x14ac:dyDescent="0.45">
      <c r="R53" s="116" t="s">
        <v>184</v>
      </c>
      <c r="S53" s="117">
        <v>3.5792283426352829</v>
      </c>
      <c r="T53" s="117">
        <v>9.7519113746294277</v>
      </c>
    </row>
    <row r="54" spans="18:20" x14ac:dyDescent="0.45">
      <c r="R54" s="116" t="s">
        <v>186</v>
      </c>
      <c r="S54" s="117">
        <v>2.7967185169401234</v>
      </c>
      <c r="T54" s="117">
        <v>7.1706039116491258</v>
      </c>
    </row>
    <row r="55" spans="18:20" x14ac:dyDescent="0.45">
      <c r="R55" s="116" t="s">
        <v>188</v>
      </c>
      <c r="S55" s="117">
        <v>3.9735501091967969</v>
      </c>
      <c r="T55" s="117">
        <v>12.107145727835382</v>
      </c>
    </row>
    <row r="56" spans="18:20" x14ac:dyDescent="0.45">
      <c r="R56" s="116" t="s">
        <v>189</v>
      </c>
      <c r="S56" s="117">
        <v>2.8189202102245581</v>
      </c>
      <c r="T56" s="117">
        <v>9.6460068593826556</v>
      </c>
    </row>
    <row r="57" spans="18:20" x14ac:dyDescent="0.45">
      <c r="R57" s="116" t="s">
        <v>295</v>
      </c>
      <c r="S57" s="117">
        <v>3.8806484994825801</v>
      </c>
      <c r="T57" s="117">
        <v>14.623397435897436</v>
      </c>
    </row>
    <row r="58" spans="18:20" x14ac:dyDescent="0.45">
      <c r="R58" s="116" t="s">
        <v>195</v>
      </c>
      <c r="S58" s="117">
        <v>4.1462644132048654</v>
      </c>
      <c r="T58" s="117">
        <v>9.9161661661661658</v>
      </c>
    </row>
    <row r="59" spans="18:20" x14ac:dyDescent="0.45">
      <c r="R59" s="116" t="s">
        <v>196</v>
      </c>
      <c r="S59" s="117">
        <v>3.1729446619405355</v>
      </c>
      <c r="T59" s="117">
        <v>10.300358452474146</v>
      </c>
    </row>
    <row r="60" spans="18:20" x14ac:dyDescent="0.45">
      <c r="R60" s="116" t="s">
        <v>197</v>
      </c>
      <c r="S60" s="117">
        <v>4.6436315909609682</v>
      </c>
      <c r="T60" s="117">
        <v>15.494636471990464</v>
      </c>
    </row>
    <row r="61" spans="18:20" x14ac:dyDescent="0.45">
      <c r="R61" s="116" t="s">
        <v>198</v>
      </c>
      <c r="S61" s="117">
        <v>2.264780673871583</v>
      </c>
      <c r="T61" s="117">
        <v>6.0128001304471894</v>
      </c>
    </row>
    <row r="62" spans="18:20" x14ac:dyDescent="0.45">
      <c r="R62" s="116" t="s">
        <v>202</v>
      </c>
      <c r="S62" s="117">
        <v>3.6057692307692308</v>
      </c>
      <c r="T62" s="117">
        <v>14.061425160846518</v>
      </c>
    </row>
    <row r="63" spans="18:20" x14ac:dyDescent="0.45">
      <c r="R63" s="116" t="s">
        <v>203</v>
      </c>
      <c r="S63" s="117">
        <v>4.4783983140147523</v>
      </c>
      <c r="T63" s="117">
        <v>11.857858700225682</v>
      </c>
    </row>
    <row r="64" spans="18:20" x14ac:dyDescent="0.45">
      <c r="R64" s="116" t="s">
        <v>205</v>
      </c>
      <c r="S64" s="117">
        <v>4.1730421477256918</v>
      </c>
      <c r="T64" s="117">
        <v>10.820400649273527</v>
      </c>
    </row>
    <row r="65" spans="18:20" ht="24" x14ac:dyDescent="0.45">
      <c r="R65" s="116" t="s">
        <v>206</v>
      </c>
      <c r="S65" s="117">
        <v>3.593292520628161</v>
      </c>
      <c r="T65" s="117">
        <v>13.813999505317833</v>
      </c>
    </row>
    <row r="66" spans="18:20" x14ac:dyDescent="0.45">
      <c r="R66" s="116" t="s">
        <v>296</v>
      </c>
      <c r="S66" s="117">
        <v>3.3204205866076371</v>
      </c>
      <c r="T66" s="117">
        <v>8.6988939977631414</v>
      </c>
    </row>
    <row r="67" spans="18:20" x14ac:dyDescent="0.45">
      <c r="R67" s="116" t="s">
        <v>212</v>
      </c>
      <c r="S67" s="117">
        <v>7.508116883116883</v>
      </c>
      <c r="T67" s="117">
        <v>18.264118674945163</v>
      </c>
    </row>
    <row r="68" spans="18:20" x14ac:dyDescent="0.45">
      <c r="R68" s="116" t="s">
        <v>217</v>
      </c>
      <c r="S68" s="117">
        <v>6.8349568186382808</v>
      </c>
      <c r="T68" s="117">
        <v>20.449008005569091</v>
      </c>
    </row>
    <row r="69" spans="18:20" x14ac:dyDescent="0.45">
      <c r="R69" s="116" t="s">
        <v>227</v>
      </c>
      <c r="S69" s="117">
        <v>3.709556460252839</v>
      </c>
      <c r="T69" s="117">
        <v>14.415242552124681</v>
      </c>
    </row>
    <row r="70" spans="18:20" x14ac:dyDescent="0.45">
      <c r="R70" s="116" t="s">
        <v>228</v>
      </c>
      <c r="S70" s="117">
        <v>3.0336604410678483</v>
      </c>
      <c r="T70" s="117">
        <v>7.5596066829098501</v>
      </c>
    </row>
    <row r="71" spans="18:20" x14ac:dyDescent="0.45">
      <c r="R71" s="116" t="s">
        <v>229</v>
      </c>
      <c r="S71" s="117">
        <v>2.483769427503443</v>
      </c>
      <c r="T71" s="117">
        <v>5.8937602190197342</v>
      </c>
    </row>
    <row r="72" spans="18:20" x14ac:dyDescent="0.45">
      <c r="R72" s="116" t="s">
        <v>231</v>
      </c>
      <c r="S72" s="117">
        <v>5.4002160086403457</v>
      </c>
      <c r="T72" s="117">
        <v>13.245509996611318</v>
      </c>
    </row>
    <row r="73" spans="18:20" x14ac:dyDescent="0.45">
      <c r="R73" s="116" t="s">
        <v>230</v>
      </c>
      <c r="S73" s="117">
        <v>3.0133683979837826</v>
      </c>
      <c r="T73" s="11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328613</xdr:colOff>
                    <xdr:row>1</xdr:row>
                    <xdr:rowOff>0</xdr:rowOff>
                  </from>
                  <to>
                    <xdr:col>8</xdr:col>
                    <xdr:colOff>290513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2022-09-04T04:05:09Z</cp:lastPrinted>
  <dcterms:created xsi:type="dcterms:W3CDTF">2022-07-01T03:19:22Z</dcterms:created>
  <dcterms:modified xsi:type="dcterms:W3CDTF">2022-09-07T11:50:16Z</dcterms:modified>
</cp:coreProperties>
</file>